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 activeTab="2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O17" i="3"/>
  <c r="H97" i="5" l="1"/>
  <c r="G97"/>
  <c r="G35"/>
  <c r="H7" i="4"/>
  <c r="I17"/>
  <c r="K10"/>
  <c r="O25" i="6" l="1"/>
  <c r="O20"/>
  <c r="I20"/>
  <c r="G25"/>
  <c r="Q36" i="3"/>
  <c r="Q33"/>
  <c r="Q26"/>
  <c r="K33"/>
  <c r="M31"/>
  <c r="K31"/>
  <c r="O24"/>
  <c r="O23"/>
  <c r="M26"/>
  <c r="K26"/>
  <c r="G33"/>
  <c r="G31"/>
  <c r="E31"/>
  <c r="I24"/>
  <c r="E26"/>
  <c r="I18"/>
  <c r="I17"/>
  <c r="G19"/>
  <c r="G36" s="1"/>
  <c r="S13" i="2"/>
  <c r="Q13"/>
  <c r="M22"/>
  <c r="K22"/>
  <c r="K24"/>
  <c r="I20"/>
  <c r="I18"/>
  <c r="I16"/>
  <c r="G22"/>
  <c r="E22"/>
  <c r="I22" i="1"/>
  <c r="G22"/>
  <c r="I24" i="6"/>
  <c r="O18" i="3"/>
  <c r="O14"/>
  <c r="M19"/>
  <c r="I23"/>
  <c r="E33"/>
  <c r="E19"/>
  <c r="O21" i="2"/>
  <c r="O19"/>
  <c r="O18"/>
  <c r="I19"/>
  <c r="E36" i="3" l="1"/>
  <c r="Q22" i="1"/>
  <c r="M22"/>
  <c r="K22"/>
  <c r="I20"/>
  <c r="E22"/>
  <c r="S24" i="3"/>
  <c r="Q24" i="2"/>
  <c r="S11" i="1"/>
  <c r="O29" i="3"/>
  <c r="I29"/>
  <c r="I14"/>
  <c r="J17" i="4"/>
  <c r="J18" s="1"/>
  <c r="G17"/>
  <c r="G18" s="1"/>
  <c r="F17"/>
  <c r="F18" s="1"/>
  <c r="K16"/>
  <c r="H16"/>
  <c r="K15"/>
  <c r="H15"/>
  <c r="K14"/>
  <c r="H14"/>
  <c r="K13"/>
  <c r="H13"/>
  <c r="K12"/>
  <c r="H12"/>
  <c r="K11"/>
  <c r="H11"/>
  <c r="H10"/>
  <c r="K7"/>
  <c r="H17" l="1"/>
  <c r="H18" s="1"/>
  <c r="K17"/>
  <c r="I18"/>
  <c r="K18" s="1"/>
  <c r="O23" i="6"/>
  <c r="I15" l="1"/>
  <c r="I23"/>
  <c r="O15" i="2" l="1"/>
  <c r="H20" i="4" l="1"/>
  <c r="K20"/>
  <c r="H22"/>
  <c r="K22"/>
  <c r="Q31" i="3" l="1"/>
  <c r="G26" l="1"/>
  <c r="O20" i="2" l="1"/>
  <c r="E13"/>
  <c r="G13" l="1"/>
  <c r="S26" i="3" l="1"/>
  <c r="I16" i="6"/>
  <c r="Q25"/>
  <c r="S25"/>
  <c r="O24"/>
  <c r="M25"/>
  <c r="K25"/>
  <c r="E25"/>
  <c r="S29" i="1" l="1"/>
  <c r="Q29"/>
  <c r="E29"/>
  <c r="O22" i="6"/>
  <c r="I22"/>
  <c r="I25" s="1"/>
  <c r="O21"/>
  <c r="I21"/>
  <c r="S17"/>
  <c r="S27" s="1"/>
  <c r="Q17"/>
  <c r="Q27" s="1"/>
  <c r="M17"/>
  <c r="M27" s="1"/>
  <c r="K17"/>
  <c r="G17"/>
  <c r="E17"/>
  <c r="E28" i="1" s="1"/>
  <c r="O16" i="6"/>
  <c r="O14"/>
  <c r="I14"/>
  <c r="O13"/>
  <c r="I13"/>
  <c r="O12"/>
  <c r="I12"/>
  <c r="E7"/>
  <c r="C4"/>
  <c r="G24" i="2"/>
  <c r="S19" i="3"/>
  <c r="S20" i="1" s="1"/>
  <c r="S22" s="1"/>
  <c r="O16" i="3"/>
  <c r="K19"/>
  <c r="Q22" i="2"/>
  <c r="Q14" i="1" s="1"/>
  <c r="Q16" s="1"/>
  <c r="M13" i="2"/>
  <c r="K13"/>
  <c r="I13"/>
  <c r="X30" i="3"/>
  <c r="X29"/>
  <c r="X28"/>
  <c r="X25"/>
  <c r="X24"/>
  <c r="X23"/>
  <c r="X18"/>
  <c r="X17"/>
  <c r="X16"/>
  <c r="X14"/>
  <c r="O30"/>
  <c r="O28"/>
  <c r="O25"/>
  <c r="I30"/>
  <c r="I28"/>
  <c r="I25"/>
  <c r="K12" i="1"/>
  <c r="M12"/>
  <c r="E12"/>
  <c r="E24" i="2"/>
  <c r="G12" i="1"/>
  <c r="E7" i="3"/>
  <c r="S22" i="2"/>
  <c r="S14" i="1" s="1"/>
  <c r="Q12"/>
  <c r="I15" i="2"/>
  <c r="I17"/>
  <c r="I21"/>
  <c r="O16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K44"/>
  <c r="W37" i="3"/>
  <c r="V24"/>
  <c r="H36" i="5"/>
  <c r="S52" i="1" s="1"/>
  <c r="H47" i="5"/>
  <c r="S53" i="1" s="1"/>
  <c r="H72" i="5"/>
  <c r="S55" i="1" s="1"/>
  <c r="D36" i="5"/>
  <c r="E52" i="1" s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M43"/>
  <c r="K43"/>
  <c r="F8" i="5"/>
  <c r="F36" s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2" i="1"/>
  <c r="F59" i="5"/>
  <c r="U39" i="3"/>
  <c r="H86" i="5"/>
  <c r="I54"/>
  <c r="S31" i="3"/>
  <c r="S33" s="1"/>
  <c r="E44" i="1"/>
  <c r="I84" i="5"/>
  <c r="I86"/>
  <c r="F84"/>
  <c r="F86" s="1"/>
  <c r="G44" i="1"/>
  <c r="I16" i="3"/>
  <c r="V39"/>
  <c r="W38"/>
  <c r="U37"/>
  <c r="U38" s="1"/>
  <c r="V37"/>
  <c r="V38"/>
  <c r="K36" l="1"/>
  <c r="I31"/>
  <c r="S36"/>
  <c r="O31"/>
  <c r="I22" i="2"/>
  <c r="I24" s="1"/>
  <c r="F102" i="5"/>
  <c r="S28" i="1"/>
  <c r="S31" s="1"/>
  <c r="M24" i="2"/>
  <c r="I59" i="5"/>
  <c r="H61"/>
  <c r="H80" s="1"/>
  <c r="H88" s="1"/>
  <c r="H93" s="1"/>
  <c r="H166" s="1"/>
  <c r="G61"/>
  <c r="G80" s="1"/>
  <c r="G88" s="1"/>
  <c r="G93" s="1"/>
  <c r="I47"/>
  <c r="I36"/>
  <c r="U26" i="3"/>
  <c r="G16" i="1"/>
  <c r="O17" i="6"/>
  <c r="M33" i="3"/>
  <c r="M36" s="1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D80" s="1"/>
  <c r="D88" s="1"/>
  <c r="D93" s="1"/>
  <c r="D166" s="1"/>
  <c r="F47"/>
  <c r="O14" i="1"/>
  <c r="O22" i="2"/>
  <c r="I26" i="3"/>
  <c r="U31"/>
  <c r="U33" s="1"/>
  <c r="X31"/>
  <c r="X26"/>
  <c r="O26"/>
  <c r="Q19"/>
  <c r="Q28" i="1"/>
  <c r="Q31" s="1"/>
  <c r="M31"/>
  <c r="O29"/>
  <c r="K27" i="6"/>
  <c r="I29" i="1"/>
  <c r="G27" i="6"/>
  <c r="E27"/>
  <c r="G28" i="1"/>
  <c r="G31" s="1"/>
  <c r="I52"/>
  <c r="G45"/>
  <c r="I44"/>
  <c r="K45"/>
  <c r="I55"/>
  <c r="I53"/>
  <c r="E45"/>
  <c r="O15" i="3"/>
  <c r="O19" s="1"/>
  <c r="U15"/>
  <c r="U19" s="1"/>
  <c r="X15"/>
  <c r="X19" s="1"/>
  <c r="I15"/>
  <c r="I19" s="1"/>
  <c r="M16" i="1"/>
  <c r="I11"/>
  <c r="I12" s="1"/>
  <c r="S24" i="2"/>
  <c r="S16" i="1"/>
  <c r="S34" s="1"/>
  <c r="O11"/>
  <c r="O12" s="1"/>
  <c r="I17" i="6"/>
  <c r="M56" i="1"/>
  <c r="O53"/>
  <c r="Q56"/>
  <c r="E56"/>
  <c r="S56"/>
  <c r="O43"/>
  <c r="K31"/>
  <c r="O52"/>
  <c r="I43"/>
  <c r="K55"/>
  <c r="O55" s="1"/>
  <c r="E16" l="1"/>
  <c r="I14"/>
  <c r="I16" s="1"/>
  <c r="M25"/>
  <c r="E34"/>
  <c r="I61" i="5"/>
  <c r="I80" s="1"/>
  <c r="I88" s="1"/>
  <c r="I93" s="1"/>
  <c r="K16" i="1"/>
  <c r="O16" s="1"/>
  <c r="O27" i="6"/>
  <c r="O28" i="1"/>
  <c r="O31" s="1"/>
  <c r="O24" i="2"/>
  <c r="M45" i="1"/>
  <c r="O33" i="3"/>
  <c r="I33"/>
  <c r="I36" s="1"/>
  <c r="I27" i="6"/>
  <c r="E166" i="5"/>
  <c r="F166" s="1"/>
  <c r="F61"/>
  <c r="F80" s="1"/>
  <c r="F88" s="1"/>
  <c r="F93" s="1"/>
  <c r="I56" i="1"/>
  <c r="Q34"/>
  <c r="S35"/>
  <c r="S37" s="1"/>
  <c r="U36" i="3"/>
  <c r="X33"/>
  <c r="X36" s="1"/>
  <c r="I28" i="1"/>
  <c r="I31" s="1"/>
  <c r="H104" i="5"/>
  <c r="G166"/>
  <c r="I166" s="1"/>
  <c r="G104"/>
  <c r="D104"/>
  <c r="F104" s="1"/>
  <c r="O45" i="1"/>
  <c r="I45"/>
  <c r="O21"/>
  <c r="O56"/>
  <c r="K56"/>
  <c r="E35" l="1"/>
  <c r="I21"/>
  <c r="I25" s="1"/>
  <c r="X41" i="3"/>
  <c r="K25" i="1"/>
  <c r="K37" s="1"/>
  <c r="O20"/>
  <c r="O22" s="1"/>
  <c r="Q25"/>
  <c r="I34"/>
  <c r="O36" i="3"/>
  <c r="O34" i="1"/>
  <c r="S25"/>
  <c r="I104" i="5"/>
  <c r="E25" i="1" l="1"/>
  <c r="E37" s="1"/>
  <c r="O25"/>
  <c r="G25"/>
  <c r="G37" s="1"/>
  <c r="M37"/>
  <c r="O35"/>
  <c r="O37" s="1"/>
  <c r="I35"/>
  <c r="I37" s="1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<sst xmlns="http://schemas.openxmlformats.org/spreadsheetml/2006/main" count="335" uniqueCount="210">
  <si>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</si>
  <si>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</si>
  <si>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</si>
  <si>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</si>
  <si>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</si>
  <si>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</si>
  <si>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</si>
  <si>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</si>
  <si>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</si>
  <si>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</si>
  <si>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</si>
  <si>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</si>
  <si>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</si>
  <si>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</si>
  <si>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</si>
  <si>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</si>
  <si>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</si>
  <si>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</si>
  <si>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</si>
  <si>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</si>
  <si>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</si>
  <si>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</si>
  <si>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</si>
  <si>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</si>
  <si>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</si>
  <si>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</si>
  <si>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</si>
  <si>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</si>
  <si>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</si>
  <si>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</si>
  <si>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</si>
  <si>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</si>
  <si>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</si>
  <si>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</si>
  <si>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</si>
  <si>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</si>
  <si>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</si>
  <si>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</si>
  <si>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</si>
  <si>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</si>
  <si>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</si>
  <si>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</si>
  <si>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</si>
  <si>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</si>
  <si>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</si>
  <si>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</si>
  <si>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</si>
  <si>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</si>
  <si>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</si>
  <si>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</si>
  <si>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</si>
  <si>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</si>
  <si>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</si>
  <si>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</si>
  <si>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</si>
  <si>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</si>
  <si>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</si>
  <si>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</si>
  <si>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</si>
  <si>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</si>
  <si>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</si>
  <si>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</si>
  <si>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</si>
  <si>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</si>
  <si>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</si>
  <si>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</si>
  <si>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</si>
  <si>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</si>
  <si>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</si>
  <si>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</si>
  <si>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</si>
  <si>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</si>
  <si>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</si>
  <si>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</si>
  <si>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</si>
  <si>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</si>
  <si>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</si>
  <si>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</si>
  <si>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</si>
  <si>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</si>
  <si>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</si>
  <si>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</si>
  <si>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</si>
  <si>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</si>
  <si>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</si>
  <si>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</si>
  <si>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</si>
  <si>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</si>
  <si>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</si>
  <si>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</si>
  <si>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</si>
  <si>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</si>
  <si>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</si>
  <si>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</si>
  <si>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</si>
  <si>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</si>
  <si>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</si>
  <si>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</si>
  <si>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</si>
  <si>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</si>
  <si>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</si>
  <si>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</si>
  <si>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</si>
  <si>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</si>
  <si>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</si>
  <si>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</si>
  <si>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</si>
  <si>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</si>
  <si>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</si>
  <si>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</si>
  <si>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</si>
  <si>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</si>
  <si>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</si>
  <si>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</si>
  <si>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</si>
  <si>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</si>
  <si>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</si>
  <si>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</si>
  <si>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</si>
  <si>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</si>
  <si>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</si>
  <si>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</si>
  <si>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</si>
  <si>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</si>
  <si>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</si>
  <si>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</si>
  <si>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</si>
  <si>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</si>
  <si>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</si>
  <si>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</si>
  <si>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</si>
  <si>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</si>
  <si>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</si>
  <si>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</si>
  <si>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</si>
  <si>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</si>
  <si>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</si>
  <si>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</si>
  <si>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</si>
  <si>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</si>
  <si>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</si>
  <si>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</si>
  <si>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</si>
  <si>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</si>
  <si>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</si>
  <si>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</si>
  <si>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</si>
  <si>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</si>
  <si>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</si>
  <si>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</si>
  <si>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</si>
  <si>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</si>
  <si>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</si>
  <si>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</si>
  <si>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</si>
  <si>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</si>
  <si>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</si>
  <si>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</si>
  <si>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</si>
  <si>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</si>
  <si>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</si>
  <si>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</si>
  <si>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</si>
  <si>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</si>
  <si>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</si>
  <si>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</si>
  <si>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</si>
  <si>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</si>
  <si>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</si>
  <si>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</si>
  <si>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</si>
  <si>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</si>
  <si>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</si>
  <si>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</si>
  <si>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</si>
  <si>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</si>
  <si>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</si>
  <si>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</si>
  <si>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</si>
  <si>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</si>
  <si>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</si>
  <si>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</si>
  <si>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</si>
  <si>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</si>
  <si>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</si>
  <si>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</si>
  <si>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</si>
  <si>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</si>
  <si>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</si>
  <si>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</si>
  <si>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</si>
  <si>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</si>
  <si>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</si>
  <si>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</si>
  <si>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</si>
  <si>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</si>
  <si>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</si>
  <si>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</si>
  <si>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</si>
  <si>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April</t>
  </si>
  <si>
    <t>2017/18 Year to Date</t>
  </si>
  <si>
    <t>2017/18 Year-end Forecast</t>
  </si>
  <si>
    <t>2017/18</t>
  </si>
  <si>
    <t>2017/18  Forecast Year end Outturn</t>
  </si>
  <si>
    <t>2017/18 Year end Position</t>
  </si>
  <si>
    <t>2017/18 - June  2017</t>
  </si>
  <si>
    <t>June</t>
  </si>
  <si>
    <t>June 2017</t>
  </si>
  <si>
    <t>Capital Stimulus</t>
  </si>
  <si>
    <t>Elective Centres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</si>
</sst>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6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7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9" fontId="26" fillId="27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165" fontId="28" fillId="24" borderId="17" xfId="0" applyNumberFormat="1" applyFont="1" applyFill="1" applyBorder="1" applyAlignment="1" applyProtection="1"/>
    <xf numFmtId="0" fontId="0" fillId="0" borderId="37" xfId="0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5" fontId="28" fillId="24" borderId="37" xfId="0" applyNumberFormat="1" applyFont="1" applyFill="1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zoomScale="90" zoomScaleNormal="90" workbookViewId="0">
      <selection activeCell="O31" activeCellId="2" sqref="O16 O22 O31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5" t="s">
        <v>205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5" t="s">
        <v>206</v>
      </c>
      <c r="F7" s="296"/>
      <c r="G7" s="296"/>
      <c r="H7" s="296"/>
      <c r="I7" s="297"/>
      <c r="J7" s="112"/>
      <c r="K7" s="295" t="s">
        <v>1</v>
      </c>
      <c r="L7" s="296"/>
      <c r="M7" s="296"/>
      <c r="N7" s="296"/>
      <c r="O7" s="297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183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v>-5555</v>
      </c>
      <c r="F11" s="27"/>
      <c r="G11" s="28">
        <v>-5555</v>
      </c>
      <c r="H11" s="29"/>
      <c r="I11" s="30">
        <f>E11-G11</f>
        <v>0</v>
      </c>
      <c r="J11" s="73"/>
      <c r="K11" s="26">
        <v>-16679</v>
      </c>
      <c r="L11" s="27"/>
      <c r="M11" s="28">
        <v>-16679</v>
      </c>
      <c r="N11" s="29"/>
      <c r="O11" s="30">
        <f>K11-M11</f>
        <v>0</v>
      </c>
      <c r="P11" s="73"/>
      <c r="Q11" s="31">
        <v>-67958</v>
      </c>
      <c r="R11" s="73"/>
      <c r="S11" s="31">
        <f>'Page 2 - Core Income '!S11+'Page 2 - Core Income '!S12+1</f>
        <v>-67909</v>
      </c>
      <c r="U11" s="16"/>
      <c r="V11" s="25"/>
      <c r="W11" s="16"/>
      <c r="X11" s="16"/>
    </row>
    <row r="12" spans="3:24">
      <c r="C12" s="15" t="s">
        <v>178</v>
      </c>
      <c r="D12" s="73"/>
      <c r="E12" s="45">
        <f>SUM(E11:E11)</f>
        <v>-5555</v>
      </c>
      <c r="F12" s="48"/>
      <c r="G12" s="47">
        <f>SUM(G11:G11)</f>
        <v>-5555</v>
      </c>
      <c r="H12" s="48"/>
      <c r="I12" s="49">
        <f>SUM(I11:I11)</f>
        <v>0</v>
      </c>
      <c r="J12" s="4"/>
      <c r="K12" s="45">
        <f>SUM(K11:K11)</f>
        <v>-16679</v>
      </c>
      <c r="L12" s="48"/>
      <c r="M12" s="47">
        <f>SUM(M11:M11)</f>
        <v>-16679</v>
      </c>
      <c r="N12" s="48"/>
      <c r="O12" s="49">
        <f>SUM(O11:O11)</f>
        <v>0</v>
      </c>
      <c r="P12" s="4"/>
      <c r="Q12" s="50">
        <f>SUM(Q11:Q11)</f>
        <v>-67958</v>
      </c>
      <c r="R12" s="4"/>
      <c r="S12" s="50">
        <f>SUM(S11:S11)</f>
        <v>-67909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79">
        <v>-5021</v>
      </c>
      <c r="F14" s="251"/>
      <c r="G14" s="28">
        <v>-5107</v>
      </c>
      <c r="H14" s="29"/>
      <c r="I14" s="30">
        <f>E14-G14</f>
        <v>86</v>
      </c>
      <c r="J14" s="73"/>
      <c r="K14" s="41">
        <v>-14922</v>
      </c>
      <c r="L14" s="27"/>
      <c r="M14" s="28">
        <v>-15055</v>
      </c>
      <c r="N14" s="29"/>
      <c r="O14" s="30">
        <f>K14-M14</f>
        <v>133</v>
      </c>
      <c r="P14" s="73"/>
      <c r="Q14" s="31">
        <f>'Page 2 - Core Income '!Q22</f>
        <v>-60136</v>
      </c>
      <c r="R14" s="73"/>
      <c r="S14" s="31">
        <f>'Page 2 - Core Income '!S22</f>
        <v>-60001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177</v>
      </c>
      <c r="D16" s="73"/>
      <c r="E16" s="45">
        <f>E12+E14</f>
        <v>-10576</v>
      </c>
      <c r="F16" s="46"/>
      <c r="G16" s="47">
        <f>G12+G14</f>
        <v>-10662</v>
      </c>
      <c r="H16" s="48"/>
      <c r="I16" s="49">
        <f>I14</f>
        <v>86</v>
      </c>
      <c r="J16" s="73"/>
      <c r="K16" s="45">
        <f>K12+K14</f>
        <v>-31601</v>
      </c>
      <c r="L16" s="46"/>
      <c r="M16" s="47">
        <f>M12+M14</f>
        <v>-31734</v>
      </c>
      <c r="N16" s="48"/>
      <c r="O16" s="49">
        <f>K16-M16</f>
        <v>133</v>
      </c>
      <c r="P16" s="73"/>
      <c r="Q16" s="50">
        <f>Q12+Q14-1</f>
        <v>-128095</v>
      </c>
      <c r="R16" s="73"/>
      <c r="S16" s="50">
        <f>S12+S14</f>
        <v>-127910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v>6626</v>
      </c>
      <c r="F20" s="176"/>
      <c r="G20" s="60">
        <v>6938</v>
      </c>
      <c r="H20" s="29"/>
      <c r="I20" s="30">
        <f>E20-G20+1</f>
        <v>-311</v>
      </c>
      <c r="J20" s="73"/>
      <c r="K20" s="59">
        <v>19836</v>
      </c>
      <c r="L20" s="176"/>
      <c r="M20" s="60">
        <v>20643</v>
      </c>
      <c r="N20" s="29"/>
      <c r="O20" s="30">
        <f>K20-M20</f>
        <v>-807</v>
      </c>
      <c r="P20" s="73"/>
      <c r="Q20" s="31">
        <v>78125</v>
      </c>
      <c r="R20" s="73"/>
      <c r="S20" s="31">
        <f>'Page 3 - Core Expenditure'!S19</f>
        <v>76196</v>
      </c>
    </row>
    <row r="21" spans="3:24">
      <c r="C21" s="76" t="s">
        <v>20</v>
      </c>
      <c r="D21" s="73"/>
      <c r="E21" s="59">
        <v>3950</v>
      </c>
      <c r="F21" s="176"/>
      <c r="G21" s="60">
        <v>3790</v>
      </c>
      <c r="H21" s="29"/>
      <c r="I21" s="30">
        <f>E21-G21</f>
        <v>160</v>
      </c>
      <c r="J21" s="73"/>
      <c r="K21" s="59">
        <v>11765</v>
      </c>
      <c r="L21" s="176"/>
      <c r="M21" s="60">
        <v>10107</v>
      </c>
      <c r="N21" s="29"/>
      <c r="O21" s="30">
        <f>K21-M21</f>
        <v>1658</v>
      </c>
      <c r="P21" s="73"/>
      <c r="Q21" s="31">
        <v>49969</v>
      </c>
      <c r="R21" s="73"/>
      <c r="S21" s="31">
        <v>51716</v>
      </c>
    </row>
    <row r="22" spans="3:24">
      <c r="C22" s="44" t="s">
        <v>179</v>
      </c>
      <c r="D22" s="73"/>
      <c r="E22" s="45">
        <f>SUM(E20:E21)</f>
        <v>10576</v>
      </c>
      <c r="F22" s="46"/>
      <c r="G22" s="47">
        <f>SUM(G20:G21)</f>
        <v>10728</v>
      </c>
      <c r="H22" s="48"/>
      <c r="I22" s="49">
        <f>SUM(I20:I21)-1</f>
        <v>-152</v>
      </c>
      <c r="J22" s="73"/>
      <c r="K22" s="45">
        <f>SUM(K20:K21)</f>
        <v>31601</v>
      </c>
      <c r="L22" s="46"/>
      <c r="M22" s="47">
        <f>SUM(M20:M21)</f>
        <v>30750</v>
      </c>
      <c r="N22" s="48"/>
      <c r="O22" s="49">
        <f>SUM(O20:O21)</f>
        <v>851</v>
      </c>
      <c r="P22" s="73"/>
      <c r="Q22" s="260">
        <f>SUM(Q20:Q21)+1</f>
        <v>128095</v>
      </c>
      <c r="R22" s="73"/>
      <c r="S22" s="50">
        <f>SUM(S20:S21)-1</f>
        <v>127911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180</v>
      </c>
      <c r="D25" s="73"/>
      <c r="E25" s="45">
        <f>-(E16+E22)</f>
        <v>0</v>
      </c>
      <c r="F25" s="46"/>
      <c r="G25" s="47">
        <f>-(G16+G22)</f>
        <v>-66</v>
      </c>
      <c r="H25" s="75"/>
      <c r="I25" s="49">
        <f>(I16+I22)</f>
        <v>-66</v>
      </c>
      <c r="J25" s="73"/>
      <c r="K25" s="45">
        <f>-(K16+K22)</f>
        <v>0</v>
      </c>
      <c r="L25" s="46"/>
      <c r="M25" s="47">
        <f>-(M16+M22)</f>
        <v>984</v>
      </c>
      <c r="N25" s="75"/>
      <c r="O25" s="49">
        <f>(O16+O22)</f>
        <v>984</v>
      </c>
      <c r="P25" s="73"/>
      <c r="Q25" s="50">
        <f>+Q16+Q22</f>
        <v>0</v>
      </c>
      <c r="R25" s="73"/>
      <c r="S25" s="50">
        <f>+S16+S22</f>
        <v>1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184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186</v>
      </c>
      <c r="D28" s="73"/>
      <c r="E28" s="59">
        <f>'Page 4 - Non Core Income &amp; Exp'!E17</f>
        <v>-529</v>
      </c>
      <c r="F28" s="176"/>
      <c r="G28" s="60">
        <f>'Page 4 - Non Core Income &amp; Exp'!G17</f>
        <v>-529</v>
      </c>
      <c r="H28" s="39"/>
      <c r="I28" s="30">
        <f>E28-G28</f>
        <v>0</v>
      </c>
      <c r="J28" s="73"/>
      <c r="K28" s="59">
        <v>-1588</v>
      </c>
      <c r="L28" s="176"/>
      <c r="M28" s="60">
        <v>-1588</v>
      </c>
      <c r="N28" s="39"/>
      <c r="O28" s="30">
        <f>K28-M28</f>
        <v>0</v>
      </c>
      <c r="P28" s="73"/>
      <c r="Q28" s="24">
        <f>'Page 4 - Non Core Income &amp; Exp'!Q17</f>
        <v>-6841</v>
      </c>
      <c r="R28" s="73"/>
      <c r="S28" s="24">
        <f>'Page 4 - Non Core Income &amp; Exp'!S17</f>
        <v>-6841</v>
      </c>
    </row>
    <row r="29" spans="3:24">
      <c r="C29" s="74" t="s">
        <v>187</v>
      </c>
      <c r="D29" s="73"/>
      <c r="E29" s="77">
        <f>'Page 4 - Non Core Income &amp; Exp'!E25</f>
        <v>529</v>
      </c>
      <c r="F29" s="27"/>
      <c r="G29" s="42">
        <v>555</v>
      </c>
      <c r="H29" s="29"/>
      <c r="I29" s="30">
        <f>E29-G29</f>
        <v>-26</v>
      </c>
      <c r="J29" s="73"/>
      <c r="K29" s="77">
        <v>1588</v>
      </c>
      <c r="L29" s="27"/>
      <c r="M29" s="42">
        <v>1640</v>
      </c>
      <c r="N29" s="29"/>
      <c r="O29" s="30">
        <f>K29-M29</f>
        <v>-52</v>
      </c>
      <c r="P29" s="73"/>
      <c r="Q29" s="31">
        <f>'Page 4 - Non Core Income &amp; Exp'!Q25</f>
        <v>6841</v>
      </c>
      <c r="R29" s="73"/>
      <c r="S29" s="31">
        <f>'Page 4 - Non Core Income &amp; Exp'!S25</f>
        <v>6841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181</v>
      </c>
      <c r="D31" s="73"/>
      <c r="E31" s="45">
        <f>(E28+E29)</f>
        <v>0</v>
      </c>
      <c r="F31" s="46"/>
      <c r="G31" s="47">
        <f>-(G28+G29)</f>
        <v>-26</v>
      </c>
      <c r="H31" s="48"/>
      <c r="I31" s="49">
        <f>SUM(I28:I29)</f>
        <v>-26</v>
      </c>
      <c r="J31" s="73"/>
      <c r="K31" s="45">
        <f>-(K28+K29)</f>
        <v>0</v>
      </c>
      <c r="L31" s="46"/>
      <c r="M31" s="47">
        <f>-(M28+M29)</f>
        <v>-52</v>
      </c>
      <c r="N31" s="48"/>
      <c r="O31" s="49">
        <f>SUM(O28:O29)</f>
        <v>-52</v>
      </c>
      <c r="P31" s="73"/>
      <c r="Q31" s="50">
        <f>SUM(Q28:Q30)</f>
        <v>0</v>
      </c>
      <c r="R31" s="73"/>
      <c r="S31" s="50">
        <f>SUM(S28:S30)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185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-11105</v>
      </c>
      <c r="F34" s="176"/>
      <c r="G34" s="60">
        <v>-11191</v>
      </c>
      <c r="H34" s="271"/>
      <c r="I34" s="272">
        <f>E34-G34</f>
        <v>86</v>
      </c>
      <c r="J34" s="73"/>
      <c r="K34" s="59">
        <v>-33189</v>
      </c>
      <c r="L34" s="176"/>
      <c r="M34" s="60">
        <v>-33322</v>
      </c>
      <c r="N34" s="271"/>
      <c r="O34" s="272">
        <f>K34-M34</f>
        <v>133</v>
      </c>
      <c r="P34" s="73"/>
      <c r="Q34" s="24">
        <f>Q16+Q28</f>
        <v>-134936</v>
      </c>
      <c r="R34" s="73"/>
      <c r="S34" s="24">
        <f>S16+S28</f>
        <v>-134751</v>
      </c>
    </row>
    <row r="35" spans="3:25">
      <c r="C35" s="58" t="s">
        <v>21</v>
      </c>
      <c r="D35" s="73"/>
      <c r="E35" s="59">
        <f>E22+E29</f>
        <v>11105</v>
      </c>
      <c r="F35" s="27"/>
      <c r="G35" s="60">
        <v>11283</v>
      </c>
      <c r="H35" s="39"/>
      <c r="I35" s="272">
        <f>E35-G35</f>
        <v>-178</v>
      </c>
      <c r="J35" s="73"/>
      <c r="K35" s="59">
        <v>33189</v>
      </c>
      <c r="L35" s="27"/>
      <c r="M35" s="60">
        <v>32390</v>
      </c>
      <c r="N35" s="39"/>
      <c r="O35" s="272">
        <f>K35-M35</f>
        <v>799</v>
      </c>
      <c r="P35" s="73"/>
      <c r="Q35" s="24">
        <f>Q22+Q29</f>
        <v>134936</v>
      </c>
      <c r="R35" s="73"/>
      <c r="S35" s="24">
        <f>S22+S29</f>
        <v>134752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182</v>
      </c>
      <c r="D37" s="73"/>
      <c r="E37" s="45">
        <f>E25+E31</f>
        <v>0</v>
      </c>
      <c r="F37" s="46"/>
      <c r="G37" s="47">
        <f>G25+G31</f>
        <v>-92</v>
      </c>
      <c r="H37" s="48"/>
      <c r="I37" s="49">
        <f>SUM(I34:I36)</f>
        <v>-92</v>
      </c>
      <c r="J37" s="73"/>
      <c r="K37" s="45">
        <f>K25+K31</f>
        <v>0</v>
      </c>
      <c r="L37" s="46"/>
      <c r="M37" s="47">
        <f>M25+M31</f>
        <v>932</v>
      </c>
      <c r="N37" s="48"/>
      <c r="O37" s="49">
        <f>SUM(O34:O36)</f>
        <v>932</v>
      </c>
      <c r="P37" s="73"/>
      <c r="Q37" s="281">
        <f>SUM(Q34:Q36)</f>
        <v>0</v>
      </c>
      <c r="R37" s="73"/>
      <c r="S37" s="50">
        <f>S34+S35</f>
        <v>1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 ht="13.5" thickBot="1">
      <c r="I39" s="70"/>
      <c r="O39" s="70"/>
      <c r="Q39" s="2"/>
    </row>
    <row r="40" spans="3:25" ht="15">
      <c r="C40" s="111" t="s">
        <v>31</v>
      </c>
      <c r="D40" s="112"/>
      <c r="E40" s="298" t="s">
        <v>200</v>
      </c>
      <c r="F40" s="299"/>
      <c r="G40" s="299"/>
      <c r="H40" s="300"/>
      <c r="I40" s="301"/>
      <c r="J40" s="112"/>
      <c r="K40" s="298" t="s">
        <v>201</v>
      </c>
      <c r="L40" s="299"/>
      <c r="M40" s="299"/>
      <c r="N40" s="300"/>
      <c r="O40" s="301"/>
      <c r="Q40" s="2"/>
    </row>
    <row r="41" spans="3:25" ht="30">
      <c r="C41" s="115" t="s">
        <v>89</v>
      </c>
      <c r="D41" s="73"/>
      <c r="E41" s="166" t="s">
        <v>33</v>
      </c>
      <c r="F41" s="306" t="s">
        <v>34</v>
      </c>
      <c r="G41" s="307"/>
      <c r="H41" s="308" t="s">
        <v>35</v>
      </c>
      <c r="I41" s="309"/>
      <c r="J41" s="73"/>
      <c r="K41" s="166" t="s">
        <v>33</v>
      </c>
      <c r="L41" s="306" t="s">
        <v>34</v>
      </c>
      <c r="M41" s="307"/>
      <c r="N41" s="306" t="s">
        <v>35</v>
      </c>
      <c r="O41" s="310"/>
    </row>
    <row r="42" spans="3:25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14" t="s">
        <v>48</v>
      </c>
      <c r="D43" s="73"/>
      <c r="E43" s="51">
        <f>'Page 5 - Efficiency savings'!F7</f>
        <v>997</v>
      </c>
      <c r="F43" s="55"/>
      <c r="G43" s="54">
        <f>'Page 5 - Efficiency savings'!G7</f>
        <v>0</v>
      </c>
      <c r="H43" s="55"/>
      <c r="I43" s="23">
        <f>SUM(E43:G43)</f>
        <v>997</v>
      </c>
      <c r="J43" s="73"/>
      <c r="K43" s="51">
        <f>SUM('Page 5 - Efficiency savings'!I7)</f>
        <v>3329</v>
      </c>
      <c r="L43" s="55"/>
      <c r="M43" s="54">
        <f>SUM('Page 5 - Efficiency savings'!J7)</f>
        <v>1171</v>
      </c>
      <c r="N43" s="55"/>
      <c r="O43" s="23">
        <f>K43+M43</f>
        <v>4500</v>
      </c>
    </row>
    <row r="44" spans="3:25">
      <c r="C44" s="114" t="s">
        <v>49</v>
      </c>
      <c r="D44" s="73"/>
      <c r="E44" s="51">
        <f>SUM('Page 5 - Efficiency savings'!F17)</f>
        <v>461</v>
      </c>
      <c r="F44" s="55"/>
      <c r="G44" s="54">
        <f>SUM('Page 5 - Efficiency savings'!G17)</f>
        <v>344</v>
      </c>
      <c r="H44" s="55"/>
      <c r="I44" s="23">
        <f>SUM('Page 5 - Efficiency savings'!H17)</f>
        <v>805</v>
      </c>
      <c r="J44" s="73"/>
      <c r="K44" s="51">
        <f>SUM('Page 5 - Efficiency savings'!I17)</f>
        <v>3329</v>
      </c>
      <c r="L44" s="55"/>
      <c r="M44" s="54">
        <f>SUM('Page 5 - Efficiency savings'!J17)</f>
        <v>1171</v>
      </c>
      <c r="N44" s="55"/>
      <c r="O44" s="23">
        <f>K44+M44</f>
        <v>4500</v>
      </c>
    </row>
    <row r="45" spans="3:25" ht="13.5" thickBot="1">
      <c r="C45" s="115" t="s">
        <v>100</v>
      </c>
      <c r="D45" s="73"/>
      <c r="E45" s="160">
        <f>E44-E43</f>
        <v>-536</v>
      </c>
      <c r="F45" s="165"/>
      <c r="G45" s="162">
        <f>G44-G43</f>
        <v>344</v>
      </c>
      <c r="H45" s="165"/>
      <c r="I45" s="163">
        <f>I44-I43</f>
        <v>-192</v>
      </c>
      <c r="J45" s="73"/>
      <c r="K45" s="160">
        <f>K44-K43</f>
        <v>0</v>
      </c>
      <c r="L45" s="165"/>
      <c r="M45" s="162">
        <f>M44-M43</f>
        <v>0</v>
      </c>
      <c r="N45" s="165"/>
      <c r="O45" s="163">
        <f>O44-O43</f>
        <v>0</v>
      </c>
    </row>
    <row r="46" spans="3:25" ht="13.5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thickBot="1"/>
    <row r="48" spans="3:25">
      <c r="C48" s="111" t="s">
        <v>51</v>
      </c>
      <c r="D48" s="112"/>
      <c r="E48" s="302" t="s">
        <v>199</v>
      </c>
      <c r="F48" s="303"/>
      <c r="G48" s="303"/>
      <c r="H48" s="303"/>
      <c r="I48" s="304"/>
      <c r="J48" s="112"/>
      <c r="K48" s="305" t="s">
        <v>1</v>
      </c>
      <c r="L48" s="296"/>
      <c r="M48" s="296"/>
      <c r="N48" s="296"/>
      <c r="O48" s="297"/>
      <c r="P48" s="112"/>
      <c r="Q48" s="9" t="s">
        <v>2</v>
      </c>
      <c r="R48" s="112"/>
      <c r="S48" s="9" t="s">
        <v>3</v>
      </c>
      <c r="T48" s="73"/>
      <c r="U48" s="73"/>
    </row>
    <row r="49" spans="3:21">
      <c r="C49" s="115" t="s">
        <v>188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>
      <c r="C52" s="114" t="s">
        <v>52</v>
      </c>
      <c r="D52" s="73"/>
      <c r="E52" s="51">
        <f>'Page 6 - Capital Expenditure'!D36</f>
        <v>0</v>
      </c>
      <c r="F52" s="55"/>
      <c r="G52" s="54">
        <f>'Page 6 - Capital Expenditure'!E36</f>
        <v>0</v>
      </c>
      <c r="H52" s="55"/>
      <c r="I52" s="56">
        <f>E52-G52</f>
        <v>0</v>
      </c>
      <c r="J52" s="73"/>
      <c r="K52" s="51">
        <f>E52</f>
        <v>0</v>
      </c>
      <c r="L52" s="55"/>
      <c r="M52" s="54">
        <f>G52</f>
        <v>0</v>
      </c>
      <c r="N52" s="55"/>
      <c r="O52" s="56">
        <f>K52-M52</f>
        <v>0</v>
      </c>
      <c r="P52" s="73"/>
      <c r="Q52" s="31">
        <f>'Page 6 - Capital Expenditure'!G36</f>
        <v>4244</v>
      </c>
      <c r="R52" s="73"/>
      <c r="S52" s="31">
        <f>'Page 6 - Capital Expenditure'!H36</f>
        <v>4244</v>
      </c>
      <c r="T52" s="73"/>
      <c r="U52" s="73"/>
    </row>
    <row r="53" spans="3:21">
      <c r="C53" s="114" t="s">
        <v>53</v>
      </c>
      <c r="D53" s="73"/>
      <c r="E53" s="51">
        <f>'Page 6 - Capital Expenditure'!D47</f>
        <v>17</v>
      </c>
      <c r="F53" s="55"/>
      <c r="G53" s="54">
        <f>'Page 6 - Capital Expenditure'!E47</f>
        <v>17</v>
      </c>
      <c r="H53" s="55"/>
      <c r="I53" s="56">
        <f>E53-G53</f>
        <v>0</v>
      </c>
      <c r="J53" s="73"/>
      <c r="K53" s="51">
        <f>E53</f>
        <v>17</v>
      </c>
      <c r="L53" s="55"/>
      <c r="M53" s="54">
        <f>G53</f>
        <v>17</v>
      </c>
      <c r="N53" s="55"/>
      <c r="O53" s="56">
        <f>K53-M53</f>
        <v>0</v>
      </c>
      <c r="P53" s="73"/>
      <c r="Q53" s="31">
        <f>'Page 6 - Capital Expenditure'!G47</f>
        <v>1500</v>
      </c>
      <c r="R53" s="73"/>
      <c r="S53" s="31">
        <f>'Page 6 - Capital Expenditure'!H47</f>
        <v>1500</v>
      </c>
      <c r="T53" s="73"/>
      <c r="U53" s="73"/>
    </row>
    <row r="54" spans="3:2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0</v>
      </c>
      <c r="R54" s="73"/>
      <c r="S54" s="31">
        <f>'Page 6 - Capital Expenditure'!H59</f>
        <v>0</v>
      </c>
      <c r="T54" s="73"/>
      <c r="U54" s="73"/>
    </row>
    <row r="55" spans="3:21">
      <c r="C55" s="114" t="s">
        <v>54</v>
      </c>
      <c r="D55" s="73"/>
      <c r="E55" s="51">
        <f>'Page 6 - Capital Expenditure'!D72</f>
        <v>0</v>
      </c>
      <c r="F55" s="55"/>
      <c r="G55" s="54">
        <f>'Page 6 - Capital Expenditure'!E72</f>
        <v>0</v>
      </c>
      <c r="H55" s="55"/>
      <c r="I55" s="56">
        <f>E55-G55</f>
        <v>0</v>
      </c>
      <c r="J55" s="73"/>
      <c r="K55" s="51">
        <f>E55</f>
        <v>0</v>
      </c>
      <c r="L55" s="55"/>
      <c r="M55" s="54">
        <f>G55</f>
        <v>0</v>
      </c>
      <c r="N55" s="55"/>
      <c r="O55" s="56">
        <f>K55-M55</f>
        <v>0</v>
      </c>
      <c r="P55" s="73"/>
      <c r="Q55" s="31">
        <f>'Page 6 - Capital Expenditure'!G72</f>
        <v>480</v>
      </c>
      <c r="R55" s="73"/>
      <c r="S55" s="31">
        <f>'Page 6 - Capital Expenditure'!H72</f>
        <v>480</v>
      </c>
      <c r="T55" s="73"/>
      <c r="U55" s="73"/>
    </row>
    <row r="56" spans="3:21" ht="13.5" thickBot="1">
      <c r="C56" s="167" t="s">
        <v>55</v>
      </c>
      <c r="D56" s="117"/>
      <c r="E56" s="160">
        <f>SUM(E52:E55)</f>
        <v>17</v>
      </c>
      <c r="F56" s="161"/>
      <c r="G56" s="162">
        <f>SUM(G52:G55)</f>
        <v>17</v>
      </c>
      <c r="H56" s="161"/>
      <c r="I56" s="163">
        <f>SUM(I52:I55)</f>
        <v>0</v>
      </c>
      <c r="J56" s="117"/>
      <c r="K56" s="160">
        <f>SUM(K52:K55)</f>
        <v>17</v>
      </c>
      <c r="L56" s="161"/>
      <c r="M56" s="162">
        <f>SUM(M52:M55)</f>
        <v>17</v>
      </c>
      <c r="N56" s="161"/>
      <c r="O56" s="163">
        <f>SUM(O52:O55)</f>
        <v>0</v>
      </c>
      <c r="P56" s="117"/>
      <c r="Q56" s="164">
        <f>SUM(Q52:Q55)</f>
        <v>6224</v>
      </c>
      <c r="R56" s="117"/>
      <c r="S56" s="164">
        <f>SUM(S52:S55)</f>
        <v>6224</v>
      </c>
      <c r="T56" s="73"/>
      <c r="U56" s="73"/>
    </row>
    <row r="60" spans="3:21">
      <c r="C60" s="273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S24" sqref="S2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2017/18 - June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175</v>
      </c>
      <c r="E7" s="305" t="str">
        <f>Summary!E7</f>
        <v>June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74" t="s">
        <v>90</v>
      </c>
      <c r="E11" s="26">
        <v>-3992</v>
      </c>
      <c r="F11" s="27"/>
      <c r="G11" s="28">
        <v>-3992</v>
      </c>
      <c r="H11" s="29"/>
      <c r="I11" s="30">
        <v>0</v>
      </c>
      <c r="K11" s="26">
        <v>-11991</v>
      </c>
      <c r="L11" s="27"/>
      <c r="M11" s="28">
        <v>-11991</v>
      </c>
      <c r="N11" s="29"/>
      <c r="O11" s="30">
        <f>K11-M11</f>
        <v>0</v>
      </c>
      <c r="Q11" s="258">
        <v>-49204</v>
      </c>
      <c r="S11" s="31">
        <v>-49156</v>
      </c>
      <c r="U11" s="16"/>
      <c r="V11" s="16"/>
      <c r="W11" s="16"/>
      <c r="X11" s="16"/>
    </row>
    <row r="12" spans="3:24">
      <c r="C12" s="10" t="s">
        <v>9</v>
      </c>
      <c r="E12" s="26">
        <v>-1563</v>
      </c>
      <c r="F12" s="27"/>
      <c r="G12" s="28">
        <v>-1563</v>
      </c>
      <c r="H12" s="29"/>
      <c r="I12" s="30">
        <v>0</v>
      </c>
      <c r="K12" s="26">
        <v>-4688</v>
      </c>
      <c r="L12" s="27"/>
      <c r="M12" s="28">
        <v>-4688</v>
      </c>
      <c r="N12" s="29"/>
      <c r="O12" s="30">
        <f>K12-M12</f>
        <v>0</v>
      </c>
      <c r="Q12" s="258">
        <v>-18754</v>
      </c>
      <c r="S12" s="290">
        <v>-18754</v>
      </c>
      <c r="U12" s="16"/>
      <c r="V12" s="16"/>
      <c r="W12" s="16"/>
      <c r="X12" s="16"/>
    </row>
    <row r="13" spans="3:24">
      <c r="C13" s="15" t="s">
        <v>173</v>
      </c>
      <c r="E13" s="45">
        <f>SUM(E11:E12)</f>
        <v>-5555</v>
      </c>
      <c r="F13" s="48"/>
      <c r="G13" s="47">
        <f>SUM(G11:G12)</f>
        <v>-5555</v>
      </c>
      <c r="H13" s="75"/>
      <c r="I13" s="49">
        <f>SUM(I11:I12)</f>
        <v>0</v>
      </c>
      <c r="J13" s="7"/>
      <c r="K13" s="45">
        <f>SUM(K11:K12)</f>
        <v>-16679</v>
      </c>
      <c r="L13" s="48"/>
      <c r="M13" s="47">
        <f>SUM(M11:M12)</f>
        <v>-16679</v>
      </c>
      <c r="N13" s="75"/>
      <c r="O13" s="49">
        <f>SUM(O11:O12)</f>
        <v>0</v>
      </c>
      <c r="P13" s="7"/>
      <c r="Q13" s="260">
        <f>SUM(Q11:Q12)</f>
        <v>-67958</v>
      </c>
      <c r="R13" s="7"/>
      <c r="S13" s="260">
        <f>SUM(S11:S12)</f>
        <v>-67910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8"/>
      <c r="S14" s="31"/>
      <c r="U14" s="16"/>
      <c r="V14" s="16"/>
      <c r="W14" s="16"/>
      <c r="X14" s="25"/>
    </row>
    <row r="15" spans="3:24">
      <c r="C15" s="10" t="s">
        <v>10</v>
      </c>
      <c r="E15" s="26">
        <v>0</v>
      </c>
      <c r="F15" s="27"/>
      <c r="G15" s="283">
        <v>-94</v>
      </c>
      <c r="H15" s="29"/>
      <c r="I15" s="30">
        <f t="shared" ref="I15:I21" si="0">E15-G15</f>
        <v>94</v>
      </c>
      <c r="K15" s="77">
        <v>0</v>
      </c>
      <c r="L15" s="27"/>
      <c r="M15" s="28">
        <v>-94</v>
      </c>
      <c r="N15" s="29"/>
      <c r="O15" s="30">
        <f>K15-M15</f>
        <v>94</v>
      </c>
      <c r="Q15" s="280">
        <v>0</v>
      </c>
      <c r="S15" s="291">
        <v>0</v>
      </c>
      <c r="U15" s="16"/>
      <c r="V15" s="16"/>
      <c r="W15" s="16"/>
      <c r="X15" s="25"/>
    </row>
    <row r="16" spans="3:24">
      <c r="C16" s="74" t="s">
        <v>91</v>
      </c>
      <c r="E16" s="26">
        <v>-2305</v>
      </c>
      <c r="F16" s="27"/>
      <c r="G16" s="283">
        <v>-2303</v>
      </c>
      <c r="H16" s="29"/>
      <c r="I16" s="30">
        <f>E16-G16</f>
        <v>-2</v>
      </c>
      <c r="K16" s="77">
        <v>-6916</v>
      </c>
      <c r="L16" s="27"/>
      <c r="M16" s="28">
        <v>-6894</v>
      </c>
      <c r="N16" s="29"/>
      <c r="O16" s="30">
        <f>K16-M16</f>
        <v>-22</v>
      </c>
      <c r="Q16" s="280">
        <v>-27666</v>
      </c>
      <c r="S16" s="292">
        <v>-27666</v>
      </c>
      <c r="U16" s="16"/>
      <c r="V16" s="16"/>
      <c r="W16" s="16"/>
      <c r="X16" s="25"/>
    </row>
    <row r="17" spans="3:24">
      <c r="C17" s="74" t="s">
        <v>92</v>
      </c>
      <c r="E17" s="26">
        <v>-682</v>
      </c>
      <c r="F17" s="27"/>
      <c r="G17" s="283">
        <v>-728</v>
      </c>
      <c r="H17" s="29"/>
      <c r="I17" s="30">
        <f t="shared" si="0"/>
        <v>46</v>
      </c>
      <c r="K17" s="77">
        <v>-2046</v>
      </c>
      <c r="L17" s="27"/>
      <c r="M17" s="28">
        <v>-2064</v>
      </c>
      <c r="N17" s="29"/>
      <c r="O17" s="30">
        <f t="shared" ref="O17" si="1">K17-M17</f>
        <v>18</v>
      </c>
      <c r="Q17" s="280">
        <v>-8183</v>
      </c>
      <c r="S17" s="258">
        <v>-8183</v>
      </c>
      <c r="U17" s="16"/>
      <c r="V17" s="16"/>
      <c r="W17" s="16"/>
      <c r="X17" s="25"/>
    </row>
    <row r="18" spans="3:24">
      <c r="C18" s="74" t="s">
        <v>93</v>
      </c>
      <c r="E18" s="26">
        <v>-1352</v>
      </c>
      <c r="F18" s="27"/>
      <c r="G18" s="283">
        <v>-1341</v>
      </c>
      <c r="H18" s="29"/>
      <c r="I18" s="30">
        <f>E18-G18</f>
        <v>-11</v>
      </c>
      <c r="K18" s="77">
        <v>-4057</v>
      </c>
      <c r="L18" s="27"/>
      <c r="M18" s="28">
        <v>-3971</v>
      </c>
      <c r="N18" s="29"/>
      <c r="O18" s="30">
        <f>K18-M18</f>
        <v>-86</v>
      </c>
      <c r="Q18" s="280">
        <v>-16230</v>
      </c>
      <c r="S18" s="258">
        <v>-16230</v>
      </c>
      <c r="U18" s="16"/>
      <c r="V18" s="16"/>
      <c r="W18" s="16"/>
      <c r="X18" s="25"/>
    </row>
    <row r="19" spans="3:24" ht="16.5" customHeight="1">
      <c r="C19" s="74" t="s">
        <v>94</v>
      </c>
      <c r="E19" s="26">
        <v>-31</v>
      </c>
      <c r="F19" s="27"/>
      <c r="G19" s="283">
        <v>-31</v>
      </c>
      <c r="H19" s="29"/>
      <c r="I19" s="30">
        <f>E19-G19</f>
        <v>0</v>
      </c>
      <c r="K19" s="77">
        <v>-92</v>
      </c>
      <c r="L19" s="27"/>
      <c r="M19" s="28">
        <v>-92</v>
      </c>
      <c r="N19" s="29"/>
      <c r="O19" s="30">
        <f>K19-M19</f>
        <v>0</v>
      </c>
      <c r="Q19" s="280">
        <v>-544</v>
      </c>
      <c r="S19" s="258">
        <v>-544</v>
      </c>
      <c r="U19" s="16"/>
      <c r="V19" s="16"/>
      <c r="W19" s="16"/>
      <c r="X19" s="25"/>
    </row>
    <row r="20" spans="3:24">
      <c r="C20" s="74" t="s">
        <v>104</v>
      </c>
      <c r="E20" s="26">
        <v>-453</v>
      </c>
      <c r="F20" s="27"/>
      <c r="G20" s="283">
        <v>-413</v>
      </c>
      <c r="H20" s="29"/>
      <c r="I20" s="30">
        <f>E20-G20+1</f>
        <v>-39</v>
      </c>
      <c r="K20" s="77">
        <v>-1215</v>
      </c>
      <c r="L20" s="27"/>
      <c r="M20" s="28">
        <v>-1201</v>
      </c>
      <c r="N20" s="29"/>
      <c r="O20" s="30">
        <f>K20-M20</f>
        <v>-14</v>
      </c>
      <c r="Q20" s="280">
        <v>-5135</v>
      </c>
      <c r="S20" s="31">
        <v>-5000</v>
      </c>
      <c r="U20" s="16"/>
      <c r="V20" s="16"/>
      <c r="W20" s="16"/>
      <c r="X20" s="16"/>
    </row>
    <row r="21" spans="3:24">
      <c r="C21" s="171" t="s">
        <v>11</v>
      </c>
      <c r="E21" s="26">
        <v>-198</v>
      </c>
      <c r="F21" s="27"/>
      <c r="G21" s="283">
        <v>-196</v>
      </c>
      <c r="H21" s="29"/>
      <c r="I21" s="30">
        <f t="shared" si="0"/>
        <v>-2</v>
      </c>
      <c r="K21" s="77">
        <v>-594</v>
      </c>
      <c r="L21" s="27"/>
      <c r="M21" s="28">
        <v>-738</v>
      </c>
      <c r="N21" s="29"/>
      <c r="O21" s="30">
        <f>K21-M21-1</f>
        <v>143</v>
      </c>
      <c r="Q21" s="280">
        <v>-2378</v>
      </c>
      <c r="S21" s="31">
        <v>-2378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</f>
        <v>-5021</v>
      </c>
      <c r="F22" s="46"/>
      <c r="G22" s="47">
        <f>SUM(G15:G21)+1</f>
        <v>-5105</v>
      </c>
      <c r="H22" s="169"/>
      <c r="I22" s="49">
        <f>SUM(I15:I21)+1</f>
        <v>87</v>
      </c>
      <c r="K22" s="45">
        <f>SUM(K15:K21)-2</f>
        <v>-14922</v>
      </c>
      <c r="L22" s="46"/>
      <c r="M22" s="170">
        <f>SUM(M15:M21)-1</f>
        <v>-15055</v>
      </c>
      <c r="N22" s="169"/>
      <c r="O22" s="49">
        <f>SUM(O15:O21)</f>
        <v>133</v>
      </c>
      <c r="Q22" s="260">
        <f>SUM(Q15:Q21)</f>
        <v>-60136</v>
      </c>
      <c r="S22" s="50">
        <f>SUM(S15:S21)</f>
        <v>-60001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61"/>
      <c r="S23" s="10"/>
      <c r="U23" s="16"/>
      <c r="V23" s="16"/>
      <c r="W23" s="16"/>
      <c r="X23" s="16"/>
    </row>
    <row r="24" spans="3:24">
      <c r="C24" s="44" t="s">
        <v>174</v>
      </c>
      <c r="E24" s="45">
        <f>E22+E13</f>
        <v>-10576</v>
      </c>
      <c r="F24" s="46"/>
      <c r="G24" s="47">
        <f>G22+G13</f>
        <v>-10660</v>
      </c>
      <c r="H24" s="48"/>
      <c r="I24" s="49">
        <f>I22+I13</f>
        <v>87</v>
      </c>
      <c r="K24" s="45">
        <f>K22+K13</f>
        <v>-31601</v>
      </c>
      <c r="L24" s="46"/>
      <c r="M24" s="47">
        <f>M22+M13</f>
        <v>-31734</v>
      </c>
      <c r="N24" s="48"/>
      <c r="O24" s="49">
        <f>O22+O13</f>
        <v>133</v>
      </c>
      <c r="Q24" s="260">
        <f>Q22+Q13-1</f>
        <v>-128095</v>
      </c>
      <c r="S24" s="50">
        <f>S22+S13</f>
        <v>-127911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62"/>
      <c r="S25" s="62"/>
      <c r="U25" s="16"/>
      <c r="V25" s="16"/>
      <c r="W25" s="16"/>
      <c r="X25" s="25"/>
    </row>
    <row r="26" spans="3:24">
      <c r="O26" s="253"/>
      <c r="Q26" s="2"/>
      <c r="U26" s="16"/>
      <c r="V26" s="16"/>
      <c r="W26" s="16"/>
      <c r="X26" s="25"/>
    </row>
    <row r="27" spans="3:24">
      <c r="E27" s="248"/>
      <c r="O27" s="244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1"/>
  <sheetViews>
    <sheetView showGridLines="0" tabSelected="1" zoomScaleNormal="100" workbookViewId="0">
      <selection activeCell="E43" sqref="E43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41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2017/18 - June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5" t="str">
        <f>Summary!E7</f>
        <v>June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9" t="s">
        <v>2</v>
      </c>
      <c r="S7" s="254" t="s">
        <v>3</v>
      </c>
    </row>
    <row r="8" spans="3:24">
      <c r="C8" s="10"/>
      <c r="E8" s="237" t="s">
        <v>4</v>
      </c>
      <c r="F8" s="238"/>
      <c r="G8" s="239" t="s">
        <v>5</v>
      </c>
      <c r="H8" s="238"/>
      <c r="I8" s="240" t="s">
        <v>6</v>
      </c>
      <c r="J8" s="241"/>
      <c r="K8" s="237" t="s">
        <v>4</v>
      </c>
      <c r="L8" s="238"/>
      <c r="M8" s="239" t="s">
        <v>5</v>
      </c>
      <c r="N8" s="12"/>
      <c r="O8" s="14" t="s">
        <v>6</v>
      </c>
      <c r="Q8" s="15" t="s">
        <v>7</v>
      </c>
      <c r="S8" s="255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6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3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3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3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3"/>
      <c r="U13" s="16"/>
      <c r="V13" s="25"/>
      <c r="W13" s="16"/>
      <c r="X13" s="16"/>
    </row>
    <row r="14" spans="3:24">
      <c r="C14" s="10" t="s">
        <v>14</v>
      </c>
      <c r="E14" s="26">
        <v>1742</v>
      </c>
      <c r="F14" s="27"/>
      <c r="G14" s="42">
        <v>1978</v>
      </c>
      <c r="H14" s="29"/>
      <c r="I14" s="30">
        <f>E14-G14-1</f>
        <v>-237</v>
      </c>
      <c r="K14" s="26">
        <v>5195</v>
      </c>
      <c r="L14" s="27"/>
      <c r="M14" s="42">
        <v>5833</v>
      </c>
      <c r="N14" s="29"/>
      <c r="O14" s="30">
        <f>K14-M14</f>
        <v>-638</v>
      </c>
      <c r="Q14" s="31">
        <v>20501</v>
      </c>
      <c r="S14" s="258">
        <v>19930</v>
      </c>
      <c r="U14" s="16">
        <f>M14/7*12</f>
        <v>9999.4285714285725</v>
      </c>
      <c r="V14" s="25"/>
      <c r="W14" s="16"/>
      <c r="X14" s="16">
        <f>M14/7*12</f>
        <v>9999.4285714285725</v>
      </c>
    </row>
    <row r="15" spans="3:24">
      <c r="C15" s="10" t="s">
        <v>15</v>
      </c>
      <c r="E15" s="26">
        <v>2351</v>
      </c>
      <c r="F15" s="27"/>
      <c r="G15" s="42">
        <v>2416</v>
      </c>
      <c r="H15" s="29"/>
      <c r="I15" s="30">
        <f>E15-G15</f>
        <v>-65</v>
      </c>
      <c r="K15" s="26">
        <v>7055</v>
      </c>
      <c r="L15" s="27"/>
      <c r="M15" s="42">
        <v>7200</v>
      </c>
      <c r="N15" s="29"/>
      <c r="O15" s="30">
        <f>K15-M15</f>
        <v>-145</v>
      </c>
      <c r="Q15" s="31">
        <v>28314</v>
      </c>
      <c r="S15" s="258">
        <v>28013</v>
      </c>
      <c r="U15" s="16">
        <f>M15/7*12</f>
        <v>12342.857142857145</v>
      </c>
      <c r="V15" s="16"/>
      <c r="W15" s="16"/>
      <c r="X15" s="16">
        <f>M15/7*12</f>
        <v>12342.857142857145</v>
      </c>
    </row>
    <row r="16" spans="3:24">
      <c r="C16" s="10" t="s">
        <v>16</v>
      </c>
      <c r="E16" s="26">
        <v>1087</v>
      </c>
      <c r="F16" s="27"/>
      <c r="G16" s="42">
        <v>1068</v>
      </c>
      <c r="H16" s="29"/>
      <c r="I16" s="30">
        <f>E16-G16</f>
        <v>19</v>
      </c>
      <c r="K16" s="26">
        <v>3252</v>
      </c>
      <c r="L16" s="27"/>
      <c r="M16" s="42">
        <v>3222</v>
      </c>
      <c r="N16" s="29"/>
      <c r="O16" s="30">
        <f>K16-M16</f>
        <v>30</v>
      </c>
      <c r="Q16" s="31">
        <v>11825</v>
      </c>
      <c r="S16" s="258">
        <v>11136</v>
      </c>
      <c r="U16" s="16">
        <f>M16/7*12</f>
        <v>5523.4285714285716</v>
      </c>
      <c r="X16" s="16">
        <f>M16/7*12</f>
        <v>5523.4285714285716</v>
      </c>
    </row>
    <row r="17" spans="3:24">
      <c r="C17" s="10" t="s">
        <v>17</v>
      </c>
      <c r="E17" s="26">
        <v>614</v>
      </c>
      <c r="F17" s="27"/>
      <c r="G17" s="42">
        <v>606</v>
      </c>
      <c r="H17" s="29"/>
      <c r="I17" s="30">
        <f>E17-G17</f>
        <v>8</v>
      </c>
      <c r="K17" s="26">
        <v>1836</v>
      </c>
      <c r="L17" s="27"/>
      <c r="M17" s="42">
        <v>1811</v>
      </c>
      <c r="N17" s="29"/>
      <c r="O17" s="30">
        <f>K17-M17</f>
        <v>25</v>
      </c>
      <c r="Q17" s="31">
        <v>6532</v>
      </c>
      <c r="S17" s="258">
        <v>6483</v>
      </c>
      <c r="U17" s="16">
        <f>M17/7*12</f>
        <v>3104.5714285714284</v>
      </c>
      <c r="X17" s="16">
        <f>M17/7*12</f>
        <v>3104.5714285714284</v>
      </c>
    </row>
    <row r="18" spans="3:24">
      <c r="C18" s="10" t="s">
        <v>18</v>
      </c>
      <c r="E18" s="26">
        <v>833</v>
      </c>
      <c r="F18" s="33"/>
      <c r="G18" s="42">
        <v>869</v>
      </c>
      <c r="H18" s="29"/>
      <c r="I18" s="30">
        <f>E18-G18-1</f>
        <v>-37</v>
      </c>
      <c r="K18" s="26">
        <v>2497</v>
      </c>
      <c r="L18" s="27"/>
      <c r="M18" s="42">
        <v>2577</v>
      </c>
      <c r="N18" s="29"/>
      <c r="O18" s="30">
        <f>K18-M18</f>
        <v>-80</v>
      </c>
      <c r="Q18" s="31">
        <v>10953</v>
      </c>
      <c r="S18" s="258">
        <v>10634</v>
      </c>
      <c r="U18" s="16">
        <f>M18/7*12</f>
        <v>4417.7142857142862</v>
      </c>
      <c r="X18" s="16">
        <f>M18/7*12</f>
        <v>4417.7142857142862</v>
      </c>
    </row>
    <row r="19" spans="3:24">
      <c r="C19" s="44" t="s">
        <v>19</v>
      </c>
      <c r="E19" s="45">
        <f>SUM(E14:E18)-1</f>
        <v>6626</v>
      </c>
      <c r="F19" s="46"/>
      <c r="G19" s="47">
        <f>SUM(G14:G18)+1</f>
        <v>6938</v>
      </c>
      <c r="H19" s="48"/>
      <c r="I19" s="49">
        <f>SUM(I14:I18)</f>
        <v>-312</v>
      </c>
      <c r="K19" s="45">
        <f>SUM(K14:K18)</f>
        <v>19835</v>
      </c>
      <c r="L19" s="46"/>
      <c r="M19" s="47">
        <f>SUM(M14:M18)</f>
        <v>20643</v>
      </c>
      <c r="N19" s="48"/>
      <c r="O19" s="49">
        <f>SUM(O14:O18)+1</f>
        <v>-807</v>
      </c>
      <c r="Q19" s="50">
        <f>SUM(Q14:Q18)</f>
        <v>78125</v>
      </c>
      <c r="S19" s="260">
        <f>SUM(S14:S18)</f>
        <v>76196</v>
      </c>
      <c r="U19" s="50">
        <f>SUM(U14:U18)</f>
        <v>35388</v>
      </c>
      <c r="X19" s="260">
        <f>SUM(X14:X18)</f>
        <v>35388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3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3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3"/>
    </row>
    <row r="23" spans="3:24">
      <c r="C23" s="76" t="s">
        <v>107</v>
      </c>
      <c r="E23" s="26">
        <v>312</v>
      </c>
      <c r="F23" s="27"/>
      <c r="G23" s="42">
        <v>321</v>
      </c>
      <c r="H23" s="29"/>
      <c r="I23" s="30">
        <f>E23-G23</f>
        <v>-9</v>
      </c>
      <c r="K23" s="26">
        <v>937</v>
      </c>
      <c r="L23" s="27"/>
      <c r="M23" s="42">
        <v>954</v>
      </c>
      <c r="N23" s="29"/>
      <c r="O23" s="30">
        <f>K23-M23-1</f>
        <v>-18</v>
      </c>
      <c r="Q23" s="31">
        <v>3746</v>
      </c>
      <c r="S23" s="258">
        <v>3706</v>
      </c>
      <c r="U23" s="16">
        <f>M23/7*12</f>
        <v>1635.4285714285713</v>
      </c>
      <c r="X23" s="16">
        <f>M23/7*12</f>
        <v>1635.4285714285713</v>
      </c>
    </row>
    <row r="24" spans="3:24">
      <c r="C24" s="76" t="s">
        <v>108</v>
      </c>
      <c r="E24" s="26">
        <v>1747</v>
      </c>
      <c r="F24" s="27"/>
      <c r="G24" s="42">
        <v>1982</v>
      </c>
      <c r="H24" s="29"/>
      <c r="I24" s="30">
        <f>E24-G24</f>
        <v>-235</v>
      </c>
      <c r="K24" s="26">
        <v>5239</v>
      </c>
      <c r="L24" s="27"/>
      <c r="M24" s="42">
        <v>5106</v>
      </c>
      <c r="N24" s="29"/>
      <c r="O24" s="30">
        <f>K24-M24</f>
        <v>133</v>
      </c>
      <c r="Q24" s="31">
        <v>20921</v>
      </c>
      <c r="S24" s="258">
        <f>20329</f>
        <v>20329</v>
      </c>
      <c r="U24" s="16">
        <f>M24/7*12</f>
        <v>8753.1428571428569</v>
      </c>
      <c r="V24" s="1">
        <f>G24*12</f>
        <v>23784</v>
      </c>
      <c r="X24" s="16">
        <f>M24/7*12</f>
        <v>8753.1428571428569</v>
      </c>
    </row>
    <row r="25" spans="3:24">
      <c r="C25" s="76" t="s">
        <v>109</v>
      </c>
      <c r="E25" s="32">
        <v>67</v>
      </c>
      <c r="F25" s="33"/>
      <c r="G25" s="174">
        <v>75</v>
      </c>
      <c r="H25" s="33"/>
      <c r="I25" s="35">
        <f>E25-G25</f>
        <v>-8</v>
      </c>
      <c r="K25" s="32">
        <v>202</v>
      </c>
      <c r="L25" s="33"/>
      <c r="M25" s="174">
        <v>308</v>
      </c>
      <c r="N25" s="34"/>
      <c r="O25" s="35">
        <f>K25-M25</f>
        <v>-106</v>
      </c>
      <c r="Q25" s="36">
        <v>803</v>
      </c>
      <c r="S25" s="259">
        <v>801</v>
      </c>
      <c r="U25" s="16">
        <f>M25/7*12</f>
        <v>528</v>
      </c>
      <c r="X25" s="16">
        <f>M25/7*12</f>
        <v>528</v>
      </c>
    </row>
    <row r="26" spans="3:24">
      <c r="C26" s="172" t="s">
        <v>106</v>
      </c>
      <c r="E26" s="37">
        <f>SUM(E23:E25)</f>
        <v>2126</v>
      </c>
      <c r="F26" s="27"/>
      <c r="G26" s="177">
        <f>SUM(G23:G25)</f>
        <v>2378</v>
      </c>
      <c r="H26" s="29"/>
      <c r="I26" s="40">
        <f>SUM(I23:I25)</f>
        <v>-252</v>
      </c>
      <c r="K26" s="37">
        <f>SUM(K23:K25)</f>
        <v>6378</v>
      </c>
      <c r="L26" s="27"/>
      <c r="M26" s="177">
        <f>SUM(M23:M25)</f>
        <v>6368</v>
      </c>
      <c r="N26" s="29"/>
      <c r="O26" s="40">
        <f>SUM(O23:O25)</f>
        <v>9</v>
      </c>
      <c r="Q26" s="24">
        <f>SUM(Q23:Q25)</f>
        <v>25470</v>
      </c>
      <c r="S26" s="257">
        <f>SUM(S23:S25)</f>
        <v>24836</v>
      </c>
      <c r="U26" s="24">
        <f>SUM(U23:U25)</f>
        <v>10916.571428571428</v>
      </c>
      <c r="X26" s="257">
        <f>SUM(X23:X25)-1</f>
        <v>10915.571428571428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3"/>
    </row>
    <row r="28" spans="3:24">
      <c r="C28" s="171" t="s">
        <v>111</v>
      </c>
      <c r="E28" s="26">
        <v>646</v>
      </c>
      <c r="F28" s="27"/>
      <c r="G28" s="42">
        <v>595</v>
      </c>
      <c r="H28" s="29"/>
      <c r="I28" s="30">
        <f>E28-G28</f>
        <v>51</v>
      </c>
      <c r="K28" s="26">
        <v>1387</v>
      </c>
      <c r="L28" s="27"/>
      <c r="M28" s="42">
        <v>1346</v>
      </c>
      <c r="N28" s="29"/>
      <c r="O28" s="30">
        <f>K28-M28</f>
        <v>41</v>
      </c>
      <c r="Q28" s="31">
        <v>5446</v>
      </c>
      <c r="S28" s="258">
        <v>3394</v>
      </c>
      <c r="U28" s="16">
        <f>M28/7*12</f>
        <v>2307.4285714285716</v>
      </c>
      <c r="X28" s="16">
        <f>M28/7*12</f>
        <v>2307.4285714285716</v>
      </c>
    </row>
    <row r="29" spans="3:24">
      <c r="C29" s="171" t="s">
        <v>112</v>
      </c>
      <c r="E29" s="26">
        <v>519</v>
      </c>
      <c r="F29" s="27"/>
      <c r="G29" s="42">
        <v>547</v>
      </c>
      <c r="H29" s="29"/>
      <c r="I29" s="30">
        <f>E29-G29</f>
        <v>-28</v>
      </c>
      <c r="K29" s="26">
        <v>1530</v>
      </c>
      <c r="L29" s="27"/>
      <c r="M29" s="42">
        <v>1604</v>
      </c>
      <c r="N29" s="29"/>
      <c r="O29" s="30">
        <f>K29-M29+1</f>
        <v>-73</v>
      </c>
      <c r="Q29" s="31">
        <v>6357</v>
      </c>
      <c r="S29" s="258">
        <v>6215</v>
      </c>
      <c r="U29" s="16">
        <f>M29/7*12</f>
        <v>2749.7142857142858</v>
      </c>
      <c r="X29" s="16">
        <f>M29/7*12</f>
        <v>2749.7142857142858</v>
      </c>
    </row>
    <row r="30" spans="3:24">
      <c r="C30" s="171" t="s">
        <v>113</v>
      </c>
      <c r="E30" s="32">
        <v>659</v>
      </c>
      <c r="F30" s="33"/>
      <c r="G30" s="174">
        <v>271</v>
      </c>
      <c r="H30" s="34"/>
      <c r="I30" s="35">
        <f>E30-G30</f>
        <v>388</v>
      </c>
      <c r="K30" s="32">
        <v>2470</v>
      </c>
      <c r="L30" s="33"/>
      <c r="M30" s="174">
        <v>788</v>
      </c>
      <c r="N30" s="34"/>
      <c r="O30" s="35">
        <f>K30-M30</f>
        <v>1682</v>
      </c>
      <c r="Q30" s="36">
        <v>12696</v>
      </c>
      <c r="S30" s="259">
        <v>17270</v>
      </c>
      <c r="U30" s="16">
        <f>M30/7*12</f>
        <v>1350.8571428571429</v>
      </c>
      <c r="X30" s="16">
        <f>M30/7*12</f>
        <v>1350.8571428571429</v>
      </c>
    </row>
    <row r="31" spans="3:24">
      <c r="C31" s="175" t="s">
        <v>114</v>
      </c>
      <c r="E31" s="37">
        <f>SUM(E28:E30)</f>
        <v>1824</v>
      </c>
      <c r="F31" s="27"/>
      <c r="G31" s="38">
        <f>SUM(G28:G30)</f>
        <v>1413</v>
      </c>
      <c r="H31" s="29"/>
      <c r="I31" s="40">
        <f>SUM(I28:I30)+1</f>
        <v>412</v>
      </c>
      <c r="K31" s="37">
        <f>SUM(K28:K30)+1</f>
        <v>5388</v>
      </c>
      <c r="L31" s="27"/>
      <c r="M31" s="242">
        <f>SUM(M28:M30)+1</f>
        <v>3739</v>
      </c>
      <c r="N31" s="29"/>
      <c r="O31" s="40">
        <f>SUM(O28:O30)-1</f>
        <v>1649</v>
      </c>
      <c r="Q31" s="24">
        <f>SUM(Q28:Q30)</f>
        <v>24499</v>
      </c>
      <c r="S31" s="257">
        <f>SUM(S28:S30)</f>
        <v>26879</v>
      </c>
      <c r="U31" s="24">
        <f>SUM(U28:U30)</f>
        <v>6408</v>
      </c>
      <c r="X31" s="257">
        <f>SUM(X28:X30)</f>
        <v>6408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8"/>
    </row>
    <row r="33" spans="3:25">
      <c r="C33" s="44" t="s">
        <v>115</v>
      </c>
      <c r="E33" s="45">
        <f>E26+E31</f>
        <v>3950</v>
      </c>
      <c r="F33" s="46"/>
      <c r="G33" s="47">
        <f>G31+G26-1</f>
        <v>3790</v>
      </c>
      <c r="H33" s="48"/>
      <c r="I33" s="49">
        <f>I31+I26</f>
        <v>160</v>
      </c>
      <c r="K33" s="45">
        <f>K26+K31-1</f>
        <v>11765</v>
      </c>
      <c r="L33" s="46"/>
      <c r="M33" s="47">
        <f>M31+M26</f>
        <v>10107</v>
      </c>
      <c r="N33" s="48"/>
      <c r="O33" s="49">
        <f>O31+O26</f>
        <v>1658</v>
      </c>
      <c r="Q33" s="50">
        <f>Q26+Q31</f>
        <v>49969</v>
      </c>
      <c r="S33" s="260">
        <f>S26+S31</f>
        <v>51715</v>
      </c>
      <c r="U33" s="50">
        <f>U26+U31</f>
        <v>17324.571428571428</v>
      </c>
      <c r="X33" s="260">
        <f>X26+X31-1</f>
        <v>17322.571428571428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3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3"/>
    </row>
    <row r="36" spans="3:25">
      <c r="C36" s="44" t="s">
        <v>28</v>
      </c>
      <c r="E36" s="45">
        <f>SUM(E35:E35)+E33+E19</f>
        <v>10576</v>
      </c>
      <c r="F36" s="46"/>
      <c r="G36" s="47">
        <f>SUM(G35:G35)+G33+G19</f>
        <v>10728</v>
      </c>
      <c r="H36" s="48"/>
      <c r="I36" s="49">
        <f>SUM(I35:I35)+I33+I19</f>
        <v>-152</v>
      </c>
      <c r="K36" s="45">
        <f>SUM(K35:K35)+K33+K19</f>
        <v>31600</v>
      </c>
      <c r="L36" s="46"/>
      <c r="M36" s="47">
        <f>SUM(M35:M35)+M33+M19</f>
        <v>30750</v>
      </c>
      <c r="N36" s="48"/>
      <c r="O36" s="49">
        <f>SUM(O35:O35)+O33+O19</f>
        <v>851</v>
      </c>
      <c r="Q36" s="50">
        <f>SUM(Q35:Q35)+Q33+Q19+1</f>
        <v>128095</v>
      </c>
      <c r="S36" s="260">
        <f>SUM(S35:S35)+S33+S19</f>
        <v>127911</v>
      </c>
      <c r="U36" s="50">
        <f>SUM(U35:U35)+U33+U19</f>
        <v>52712.571428571428</v>
      </c>
      <c r="X36" s="260">
        <f>SUM(X35:X35)+X33+X19+1</f>
        <v>52711.571428571428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4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52"/>
      <c r="Q38" s="55"/>
      <c r="S38" s="265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8" t="s">
        <v>168</v>
      </c>
      <c r="Q39" s="249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3"/>
      <c r="Q40" s="249" t="s">
        <v>170</v>
      </c>
    </row>
    <row r="41" spans="3:25">
      <c r="S41" s="269"/>
      <c r="X41" s="217">
        <f>X38-Q36</f>
        <v>-6290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/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June  2017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189</v>
      </c>
      <c r="E7" s="305" t="str">
        <f>Summary!E7</f>
        <v>June</v>
      </c>
      <c r="F7" s="296"/>
      <c r="G7" s="296"/>
      <c r="H7" s="296"/>
      <c r="I7" s="297"/>
      <c r="K7" s="295" t="s">
        <v>1</v>
      </c>
      <c r="L7" s="296"/>
      <c r="M7" s="296"/>
      <c r="N7" s="296"/>
      <c r="O7" s="297"/>
      <c r="Q7" s="254" t="s">
        <v>2</v>
      </c>
      <c r="S7" s="9" t="s">
        <v>3</v>
      </c>
    </row>
    <row r="8" spans="3:24">
      <c r="C8" s="10"/>
      <c r="E8" s="237" t="s">
        <v>4</v>
      </c>
      <c r="F8" s="238"/>
      <c r="G8" s="239" t="s">
        <v>5</v>
      </c>
      <c r="H8" s="12"/>
      <c r="I8" s="14" t="s">
        <v>6</v>
      </c>
      <c r="K8" s="237" t="s">
        <v>4</v>
      </c>
      <c r="L8" s="238"/>
      <c r="M8" s="239" t="s">
        <v>5</v>
      </c>
      <c r="N8" s="12"/>
      <c r="O8" s="14" t="s">
        <v>6</v>
      </c>
      <c r="Q8" s="255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6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7"/>
      <c r="S10" s="24"/>
      <c r="U10" s="16"/>
      <c r="V10" s="16"/>
      <c r="W10" s="16"/>
      <c r="X10" s="16"/>
    </row>
    <row r="11" spans="3:24">
      <c r="C11" s="44" t="s">
        <v>176</v>
      </c>
      <c r="E11" s="276"/>
      <c r="F11" s="27"/>
      <c r="G11" s="38"/>
      <c r="H11" s="39"/>
      <c r="I11" s="40"/>
      <c r="K11" s="37"/>
      <c r="L11" s="27"/>
      <c r="M11" s="38"/>
      <c r="N11" s="39"/>
      <c r="O11" s="40"/>
      <c r="Q11" s="257"/>
      <c r="S11" s="24"/>
      <c r="U11" s="16"/>
      <c r="V11" s="16"/>
      <c r="W11" s="16"/>
      <c r="X11" s="16"/>
    </row>
    <row r="12" spans="3:24">
      <c r="C12" s="74" t="s">
        <v>22</v>
      </c>
      <c r="E12" s="277">
        <v>-529</v>
      </c>
      <c r="F12" s="27"/>
      <c r="G12" s="42">
        <v>-529</v>
      </c>
      <c r="H12" s="29"/>
      <c r="I12" s="30">
        <f>E12-G12</f>
        <v>0</v>
      </c>
      <c r="K12" s="26">
        <v>-1588</v>
      </c>
      <c r="L12" s="27"/>
      <c r="M12" s="288">
        <v>-1588</v>
      </c>
      <c r="N12" s="29"/>
      <c r="O12" s="30">
        <f>K12-M12</f>
        <v>0</v>
      </c>
      <c r="Q12" s="268">
        <v>-6351</v>
      </c>
      <c r="R12" s="73"/>
      <c r="S12" s="78">
        <v>-6351</v>
      </c>
      <c r="U12" s="16"/>
      <c r="V12" s="16"/>
      <c r="W12" s="16"/>
      <c r="X12" s="16"/>
    </row>
    <row r="13" spans="3:24">
      <c r="C13" s="74" t="s">
        <v>23</v>
      </c>
      <c r="E13" s="277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4">
        <v>0</v>
      </c>
      <c r="N13" s="29"/>
      <c r="O13" s="30">
        <f>K13-M13</f>
        <v>0</v>
      </c>
      <c r="Q13" s="268">
        <v>-450</v>
      </c>
      <c r="R13" s="73"/>
      <c r="S13" s="78">
        <v>-450</v>
      </c>
      <c r="U13" s="16"/>
      <c r="V13" s="16"/>
      <c r="W13" s="16"/>
      <c r="X13" s="25"/>
    </row>
    <row r="14" spans="3:24">
      <c r="C14" s="74" t="s">
        <v>196</v>
      </c>
      <c r="E14" s="277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88">
        <v>0</v>
      </c>
      <c r="N14" s="29"/>
      <c r="O14" s="30">
        <f>K14-M14</f>
        <v>0</v>
      </c>
      <c r="Q14" s="268">
        <v>-40</v>
      </c>
      <c r="R14" s="73"/>
      <c r="S14" s="78">
        <v>-40</v>
      </c>
      <c r="U14" s="16"/>
      <c r="V14" s="16"/>
      <c r="W14" s="16"/>
      <c r="X14" s="25"/>
    </row>
    <row r="15" spans="3:24">
      <c r="C15" s="74" t="s">
        <v>197</v>
      </c>
      <c r="E15" s="277">
        <v>0</v>
      </c>
      <c r="F15" s="27"/>
      <c r="G15" s="42">
        <v>0</v>
      </c>
      <c r="H15" s="29"/>
      <c r="I15" s="30">
        <f>E15-G15</f>
        <v>0</v>
      </c>
      <c r="K15" s="26">
        <v>0</v>
      </c>
      <c r="L15" s="27"/>
      <c r="M15" s="288">
        <v>0</v>
      </c>
      <c r="N15" s="29"/>
      <c r="O15" s="30"/>
      <c r="Q15" s="268"/>
      <c r="R15" s="73"/>
      <c r="S15" s="78"/>
      <c r="U15" s="16"/>
      <c r="V15" s="16"/>
      <c r="W15" s="16"/>
      <c r="X15" s="25"/>
    </row>
    <row r="16" spans="3:24">
      <c r="C16" s="74" t="s">
        <v>22</v>
      </c>
      <c r="E16" s="284">
        <v>0</v>
      </c>
      <c r="F16" s="285"/>
      <c r="G16" s="286">
        <v>0</v>
      </c>
      <c r="H16" s="287"/>
      <c r="I16" s="30">
        <f>E16-G16</f>
        <v>0</v>
      </c>
      <c r="J16" s="273"/>
      <c r="K16" s="77">
        <v>0</v>
      </c>
      <c r="L16" s="282"/>
      <c r="M16" s="289">
        <v>0</v>
      </c>
      <c r="N16" s="39"/>
      <c r="O16" s="30">
        <f>K16-M16</f>
        <v>0</v>
      </c>
      <c r="Q16" s="280"/>
      <c r="S16" s="24"/>
      <c r="U16" s="16"/>
      <c r="V16" s="16"/>
      <c r="W16" s="16"/>
      <c r="X16" s="25"/>
    </row>
    <row r="17" spans="3:24">
      <c r="C17" s="44" t="s">
        <v>192</v>
      </c>
      <c r="E17" s="45">
        <f>SUM(E12:E16)</f>
        <v>-529</v>
      </c>
      <c r="F17" s="33"/>
      <c r="G17" s="270">
        <f>SUM(G12:G16)</f>
        <v>-529</v>
      </c>
      <c r="H17" s="48"/>
      <c r="I17" s="49">
        <f>SUM(I12:I16)</f>
        <v>0</v>
      </c>
      <c r="K17" s="45">
        <f>SUM(K12:K16)</f>
        <v>-1588</v>
      </c>
      <c r="L17" s="46"/>
      <c r="M17" s="47">
        <f>SUM(M12:M16)</f>
        <v>-1588</v>
      </c>
      <c r="N17" s="48"/>
      <c r="O17" s="49">
        <f>SUM(O12:O16)</f>
        <v>0</v>
      </c>
      <c r="Q17" s="260">
        <f>SUM(Q12:Q16)</f>
        <v>-6841</v>
      </c>
      <c r="S17" s="260">
        <f>SUM(S12:S16)</f>
        <v>-6841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7"/>
      <c r="S18" s="257"/>
      <c r="U18" s="16"/>
      <c r="V18" s="16"/>
      <c r="W18" s="16"/>
      <c r="X18" s="25"/>
    </row>
    <row r="19" spans="3:24">
      <c r="C19" s="44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7"/>
      <c r="U19" s="16"/>
      <c r="V19" s="16"/>
      <c r="W19" s="16"/>
      <c r="X19" s="25"/>
    </row>
    <row r="20" spans="3:24">
      <c r="C20" s="10" t="s">
        <v>22</v>
      </c>
      <c r="E20" s="59">
        <v>529</v>
      </c>
      <c r="F20" s="176"/>
      <c r="G20" s="60">
        <v>530</v>
      </c>
      <c r="H20" s="39"/>
      <c r="I20" s="30">
        <f>E20-G20</f>
        <v>-1</v>
      </c>
      <c r="K20" s="59">
        <v>1588</v>
      </c>
      <c r="L20" s="176"/>
      <c r="M20" s="60">
        <v>1602</v>
      </c>
      <c r="N20" s="39"/>
      <c r="O20" s="30">
        <f>K20-M20</f>
        <v>-14</v>
      </c>
      <c r="Q20" s="31">
        <v>6351</v>
      </c>
      <c r="S20" s="268">
        <v>6351</v>
      </c>
      <c r="U20" s="16"/>
      <c r="V20" s="16"/>
      <c r="W20" s="16"/>
      <c r="X20" s="25"/>
    </row>
    <row r="21" spans="3:24" ht="16.5" customHeight="1">
      <c r="C21" s="71" t="s">
        <v>195</v>
      </c>
      <c r="E21" s="59">
        <v>0</v>
      </c>
      <c r="F21" s="176"/>
      <c r="G21" s="60">
        <v>0</v>
      </c>
      <c r="H21" s="39"/>
      <c r="I21" s="30">
        <f>E21-G21</f>
        <v>0</v>
      </c>
      <c r="K21" s="59">
        <v>0</v>
      </c>
      <c r="L21" s="176"/>
      <c r="M21" s="60">
        <v>0</v>
      </c>
      <c r="N21" s="39"/>
      <c r="O21" s="30">
        <f>K21-M21</f>
        <v>0</v>
      </c>
      <c r="Q21" s="31">
        <v>450</v>
      </c>
      <c r="S21" s="268">
        <v>450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76"/>
      <c r="G22" s="60">
        <v>25</v>
      </c>
      <c r="H22" s="39"/>
      <c r="I22" s="30">
        <f>E22-G22</f>
        <v>-25</v>
      </c>
      <c r="K22" s="59">
        <v>0</v>
      </c>
      <c r="L22" s="176"/>
      <c r="M22" s="275">
        <v>38</v>
      </c>
      <c r="N22" s="39"/>
      <c r="O22" s="30">
        <f>K22-M22</f>
        <v>-38</v>
      </c>
      <c r="Q22" s="31">
        <v>40</v>
      </c>
      <c r="S22" s="268">
        <v>40</v>
      </c>
      <c r="U22" s="16"/>
      <c r="V22" s="16"/>
      <c r="W22" s="16"/>
      <c r="X22" s="16"/>
    </row>
    <row r="23" spans="3:24">
      <c r="C23" s="71" t="s">
        <v>198</v>
      </c>
      <c r="E23" s="59">
        <v>0</v>
      </c>
      <c r="F23" s="176"/>
      <c r="G23" s="60">
        <v>0</v>
      </c>
      <c r="H23" s="39"/>
      <c r="I23" s="30">
        <f>E23-G23</f>
        <v>0</v>
      </c>
      <c r="K23" s="59">
        <v>0</v>
      </c>
      <c r="L23" s="176"/>
      <c r="M23" s="275">
        <v>0</v>
      </c>
      <c r="N23" s="39"/>
      <c r="O23" s="30">
        <f>K23-M23</f>
        <v>0</v>
      </c>
      <c r="Q23" s="31"/>
      <c r="S23" s="268"/>
      <c r="U23" s="16"/>
      <c r="V23" s="16"/>
      <c r="W23" s="16"/>
      <c r="X23" s="16"/>
    </row>
    <row r="24" spans="3:24">
      <c r="C24" s="71" t="s">
        <v>194</v>
      </c>
      <c r="E24" s="59">
        <v>0</v>
      </c>
      <c r="F24" s="176"/>
      <c r="G24" s="60">
        <v>0</v>
      </c>
      <c r="H24" s="39"/>
      <c r="I24" s="30">
        <f>E24-G24</f>
        <v>0</v>
      </c>
      <c r="K24" s="59">
        <v>0</v>
      </c>
      <c r="L24" s="176"/>
      <c r="M24" s="275">
        <v>0</v>
      </c>
      <c r="N24" s="39"/>
      <c r="O24" s="35">
        <f>K24-M24</f>
        <v>0</v>
      </c>
      <c r="Q24" s="31"/>
      <c r="S24" s="268"/>
      <c r="U24" s="16"/>
      <c r="V24" s="16"/>
      <c r="W24" s="16"/>
      <c r="X24" s="16"/>
    </row>
    <row r="25" spans="3:24">
      <c r="C25" s="44" t="s">
        <v>29</v>
      </c>
      <c r="E25" s="45">
        <f>SUM(E20:E24)</f>
        <v>529</v>
      </c>
      <c r="F25" s="48"/>
      <c r="G25" s="47">
        <f>SUM(G20:G24)</f>
        <v>555</v>
      </c>
      <c r="H25" s="75"/>
      <c r="I25" s="47">
        <f>SUM(I20:I24)</f>
        <v>-26</v>
      </c>
      <c r="K25" s="45">
        <f>SUM(K20:K24)</f>
        <v>1588</v>
      </c>
      <c r="L25" s="48"/>
      <c r="M25" s="47">
        <f>SUM(M20:M24)</f>
        <v>1640</v>
      </c>
      <c r="N25" s="75"/>
      <c r="O25" s="47">
        <f>SUM(O20:O24)</f>
        <v>-52</v>
      </c>
      <c r="Q25" s="50">
        <f>SUM(Q20:Q24)</f>
        <v>6841</v>
      </c>
      <c r="S25" s="260">
        <f>SUM(S20:S24)</f>
        <v>6841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61"/>
      <c r="S26" s="10"/>
      <c r="U26" s="16"/>
      <c r="V26" s="16"/>
      <c r="W26" s="16"/>
      <c r="X26" s="16"/>
    </row>
    <row r="27" spans="3:24">
      <c r="C27" s="44" t="s">
        <v>190</v>
      </c>
      <c r="E27" s="45">
        <f>E17+E25</f>
        <v>0</v>
      </c>
      <c r="F27" s="46"/>
      <c r="G27" s="47">
        <f>-(G17+G25)</f>
        <v>-26</v>
      </c>
      <c r="H27" s="48"/>
      <c r="I27" s="49">
        <f>(I17+I25)</f>
        <v>-26</v>
      </c>
      <c r="K27" s="45">
        <f>K17+K25</f>
        <v>0</v>
      </c>
      <c r="L27" s="46"/>
      <c r="M27" s="47">
        <f>-(M17+M25)</f>
        <v>-52</v>
      </c>
      <c r="N27" s="48"/>
      <c r="O27" s="49">
        <f>(O17+O25)</f>
        <v>-52</v>
      </c>
      <c r="Q27" s="260">
        <f>Q17+Q25</f>
        <v>0</v>
      </c>
      <c r="S27" s="260">
        <f>S17+S25</f>
        <v>0</v>
      </c>
      <c r="U27" s="16"/>
      <c r="V27" s="16"/>
      <c r="W27" s="16"/>
      <c r="X27" s="16"/>
    </row>
    <row r="28" spans="3:24">
      <c r="C28" s="44"/>
      <c r="E28" s="276"/>
      <c r="F28" s="278"/>
      <c r="G28" s="177"/>
      <c r="H28" s="39"/>
      <c r="I28" s="40"/>
      <c r="K28" s="37"/>
      <c r="L28" s="27"/>
      <c r="M28" s="38"/>
      <c r="N28" s="39"/>
      <c r="O28" s="40"/>
      <c r="Q28" s="257"/>
      <c r="S28" s="24"/>
      <c r="U28" s="16"/>
      <c r="V28" s="16"/>
      <c r="W28" s="16"/>
      <c r="X28" s="16"/>
    </row>
    <row r="29" spans="3:24" ht="13.5" thickBot="1">
      <c r="C29" s="62"/>
      <c r="E29" s="168"/>
      <c r="F29" s="64"/>
      <c r="G29" s="65"/>
      <c r="H29" s="66"/>
      <c r="I29" s="67"/>
      <c r="K29" s="63"/>
      <c r="L29" s="64"/>
      <c r="M29" s="65"/>
      <c r="N29" s="66"/>
      <c r="O29" s="67"/>
      <c r="Q29" s="262"/>
      <c r="S29" s="62"/>
      <c r="U29" s="16"/>
      <c r="V29" s="16"/>
      <c r="W29" s="16"/>
      <c r="X29" s="16"/>
    </row>
    <row r="30" spans="3:24">
      <c r="O30" s="253"/>
      <c r="Q30" s="2"/>
      <c r="V30" s="16"/>
    </row>
    <row r="31" spans="3:24">
      <c r="E31" s="248"/>
      <c r="O31" s="244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workbookViewId="0">
      <selection activeCell="H10" sqref="H10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29" t="s">
        <v>206</v>
      </c>
      <c r="C2" s="330"/>
      <c r="D2" s="330"/>
      <c r="E2" s="330"/>
      <c r="F2" s="331"/>
      <c r="G2" s="84"/>
      <c r="H2" s="317" t="s">
        <v>99</v>
      </c>
      <c r="I2" s="318"/>
      <c r="J2" s="319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 customHeight="1">
      <c r="A4" s="86"/>
      <c r="B4" s="320" t="s">
        <v>32</v>
      </c>
      <c r="C4" s="321"/>
      <c r="D4" s="321"/>
      <c r="E4" s="322"/>
      <c r="F4" s="326" t="s">
        <v>202</v>
      </c>
      <c r="G4" s="327"/>
      <c r="H4" s="328"/>
      <c r="I4" s="326" t="s">
        <v>203</v>
      </c>
      <c r="J4" s="327"/>
      <c r="K4" s="328"/>
      <c r="L4" s="91"/>
    </row>
    <row r="5" spans="1:12" ht="73.5" customHeight="1">
      <c r="A5" s="86"/>
      <c r="B5" s="323"/>
      <c r="C5" s="324"/>
      <c r="D5" s="324"/>
      <c r="E5" s="325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 customHeight="1">
      <c r="A6" s="93"/>
      <c r="B6" s="314"/>
      <c r="C6" s="315"/>
      <c r="D6" s="315"/>
      <c r="E6" s="316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11" t="s">
        <v>36</v>
      </c>
      <c r="C7" s="312"/>
      <c r="D7" s="312"/>
      <c r="E7" s="313"/>
      <c r="F7" s="94">
        <v>997</v>
      </c>
      <c r="G7" s="97">
        <v>0</v>
      </c>
      <c r="H7" s="97">
        <f>F7+G7</f>
        <v>997</v>
      </c>
      <c r="I7" s="97">
        <v>3329</v>
      </c>
      <c r="J7" s="97">
        <v>1171</v>
      </c>
      <c r="K7" s="97">
        <f>I7+J7</f>
        <v>4500</v>
      </c>
      <c r="L7" s="95"/>
    </row>
    <row r="8" spans="1:12" s="96" customFormat="1" ht="15" hidden="1" customHeight="1">
      <c r="A8" s="93"/>
      <c r="B8" s="98"/>
      <c r="C8" s="337" t="s">
        <v>37</v>
      </c>
      <c r="D8" s="338"/>
      <c r="E8" s="339"/>
      <c r="F8" s="335"/>
      <c r="G8" s="335"/>
      <c r="H8" s="335"/>
      <c r="I8" s="340"/>
      <c r="J8" s="340"/>
      <c r="K8" s="335"/>
      <c r="L8" s="95"/>
    </row>
    <row r="9" spans="1:12" s="96" customFormat="1" ht="14.25" customHeight="1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36"/>
      <c r="G9" s="336"/>
      <c r="H9" s="336"/>
      <c r="I9" s="341"/>
      <c r="J9" s="341"/>
      <c r="K9" s="336"/>
      <c r="L9" s="95"/>
    </row>
    <row r="10" spans="1:12" s="96" customFormat="1" ht="14.25" customHeight="1">
      <c r="A10" s="93"/>
      <c r="B10" s="101" t="s">
        <v>161</v>
      </c>
      <c r="C10" s="219">
        <v>0</v>
      </c>
      <c r="D10" s="220">
        <v>0.31</v>
      </c>
      <c r="E10" s="221">
        <v>0.69</v>
      </c>
      <c r="F10" s="218">
        <v>262</v>
      </c>
      <c r="G10" s="218">
        <v>21</v>
      </c>
      <c r="H10" s="102">
        <f t="shared" ref="H10:H16" si="0">F10+G10</f>
        <v>283</v>
      </c>
      <c r="I10" s="178">
        <v>1847</v>
      </c>
      <c r="J10" s="178">
        <v>327</v>
      </c>
      <c r="K10" s="102">
        <f>I10+J10-1</f>
        <v>2173</v>
      </c>
      <c r="L10" s="95"/>
    </row>
    <row r="11" spans="1:12" s="96" customFormat="1" ht="14.25" customHeight="1">
      <c r="A11" s="93"/>
      <c r="B11" s="103" t="s">
        <v>43</v>
      </c>
      <c r="C11" s="222">
        <v>0.68</v>
      </c>
      <c r="D11" s="223">
        <v>0.13</v>
      </c>
      <c r="E11" s="221">
        <v>0.19</v>
      </c>
      <c r="F11" s="218">
        <v>3</v>
      </c>
      <c r="G11" s="218">
        <v>0</v>
      </c>
      <c r="H11" s="102">
        <f t="shared" si="0"/>
        <v>3</v>
      </c>
      <c r="I11" s="218">
        <v>118</v>
      </c>
      <c r="J11" s="178">
        <v>0</v>
      </c>
      <c r="K11" s="102">
        <f>I11+J11</f>
        <v>118</v>
      </c>
      <c r="L11" s="95"/>
    </row>
    <row r="12" spans="1:12" s="96" customFormat="1" ht="14.25" customHeight="1">
      <c r="A12" s="93"/>
      <c r="B12" s="103" t="s">
        <v>44</v>
      </c>
      <c r="C12" s="222">
        <v>0</v>
      </c>
      <c r="D12" s="223">
        <v>0</v>
      </c>
      <c r="E12" s="221">
        <v>1</v>
      </c>
      <c r="F12" s="218">
        <v>33</v>
      </c>
      <c r="G12" s="218">
        <v>247</v>
      </c>
      <c r="H12" s="102">
        <f t="shared" si="0"/>
        <v>280</v>
      </c>
      <c r="I12" s="178">
        <v>446</v>
      </c>
      <c r="J12" s="178">
        <v>572</v>
      </c>
      <c r="K12" s="102">
        <f t="shared" ref="K12:K16" si="1">I12+J12</f>
        <v>1018</v>
      </c>
      <c r="L12" s="95"/>
    </row>
    <row r="13" spans="1:12" s="96" customFormat="1" ht="14.25">
      <c r="A13" s="93"/>
      <c r="B13" s="103" t="s">
        <v>42</v>
      </c>
      <c r="C13" s="222">
        <v>0</v>
      </c>
      <c r="D13" s="223">
        <v>0.2</v>
      </c>
      <c r="E13" s="221">
        <v>0.8</v>
      </c>
      <c r="F13" s="218">
        <v>161</v>
      </c>
      <c r="G13" s="218">
        <v>76</v>
      </c>
      <c r="H13" s="102">
        <f t="shared" si="0"/>
        <v>237</v>
      </c>
      <c r="I13" s="178">
        <v>411</v>
      </c>
      <c r="J13" s="178">
        <v>272</v>
      </c>
      <c r="K13" s="102">
        <f t="shared" si="1"/>
        <v>683</v>
      </c>
      <c r="L13" s="95"/>
    </row>
    <row r="14" spans="1:12" s="96" customFormat="1" ht="15">
      <c r="A14" s="93"/>
      <c r="B14" s="103" t="s">
        <v>193</v>
      </c>
      <c r="C14" s="222">
        <v>0</v>
      </c>
      <c r="D14" s="223">
        <v>0</v>
      </c>
      <c r="E14" s="221">
        <v>1</v>
      </c>
      <c r="F14" s="218">
        <v>0</v>
      </c>
      <c r="G14" s="218">
        <v>0</v>
      </c>
      <c r="H14" s="102">
        <f t="shared" si="0"/>
        <v>0</v>
      </c>
      <c r="I14" s="293">
        <v>386</v>
      </c>
      <c r="J14" s="178">
        <v>0</v>
      </c>
      <c r="K14" s="102">
        <f t="shared" si="1"/>
        <v>386</v>
      </c>
      <c r="L14" s="95"/>
    </row>
    <row r="15" spans="1:12" s="96" customFormat="1" ht="14.25" customHeight="1">
      <c r="A15" s="93"/>
      <c r="B15" s="103" t="s">
        <v>162</v>
      </c>
      <c r="C15" s="222">
        <v>0.41</v>
      </c>
      <c r="D15" s="223">
        <v>0</v>
      </c>
      <c r="E15" s="221">
        <v>0.59</v>
      </c>
      <c r="F15" s="218">
        <v>2</v>
      </c>
      <c r="G15" s="218">
        <v>0</v>
      </c>
      <c r="H15" s="102">
        <f t="shared" si="0"/>
        <v>2</v>
      </c>
      <c r="I15" s="178">
        <v>98</v>
      </c>
      <c r="J15" s="178">
        <v>0</v>
      </c>
      <c r="K15" s="102">
        <f t="shared" si="1"/>
        <v>98</v>
      </c>
      <c r="L15" s="95"/>
    </row>
    <row r="16" spans="1:12" s="96" customFormat="1" ht="14.25" customHeight="1">
      <c r="A16" s="93"/>
      <c r="B16" s="103" t="s">
        <v>45</v>
      </c>
      <c r="C16" s="224">
        <v>0</v>
      </c>
      <c r="D16" s="225">
        <v>0</v>
      </c>
      <c r="E16" s="226">
        <v>1</v>
      </c>
      <c r="F16" s="227">
        <v>0</v>
      </c>
      <c r="G16" s="227">
        <v>0</v>
      </c>
      <c r="H16" s="102">
        <f t="shared" si="0"/>
        <v>0</v>
      </c>
      <c r="I16" s="228">
        <v>22</v>
      </c>
      <c r="J16" s="228">
        <v>0</v>
      </c>
      <c r="K16" s="102">
        <f t="shared" si="1"/>
        <v>22</v>
      </c>
      <c r="L16" s="95"/>
    </row>
    <row r="17" spans="1:12" s="96" customFormat="1" ht="14.25" customHeight="1">
      <c r="A17" s="93"/>
      <c r="B17" s="104" t="s">
        <v>46</v>
      </c>
      <c r="C17" s="105">
        <v>0</v>
      </c>
      <c r="D17" s="105">
        <v>263</v>
      </c>
      <c r="E17" s="105">
        <v>451</v>
      </c>
      <c r="F17" s="106">
        <f>SUM(F10:F16)</f>
        <v>461</v>
      </c>
      <c r="G17" s="106">
        <f>SUM(G10:G16)</f>
        <v>344</v>
      </c>
      <c r="H17" s="106">
        <f>SUM(H10:H16)</f>
        <v>805</v>
      </c>
      <c r="I17" s="106">
        <f>SUM(I10:I16)+1</f>
        <v>3329</v>
      </c>
      <c r="J17" s="106">
        <f>SUM(J10:J16)</f>
        <v>1171</v>
      </c>
      <c r="K17" s="106">
        <f>SUM(I17:J17)</f>
        <v>4500</v>
      </c>
      <c r="L17" s="95"/>
    </row>
    <row r="18" spans="1:12" s="96" customFormat="1" ht="15">
      <c r="A18" s="93"/>
      <c r="B18" s="99" t="s">
        <v>47</v>
      </c>
      <c r="C18" s="332"/>
      <c r="D18" s="333"/>
      <c r="E18" s="334"/>
      <c r="F18" s="107">
        <f>F17-F7</f>
        <v>-536</v>
      </c>
      <c r="G18" s="107">
        <f>G17-G7</f>
        <v>344</v>
      </c>
      <c r="H18" s="106">
        <f>H17-H7</f>
        <v>-192</v>
      </c>
      <c r="I18" s="106">
        <f>I17-I7</f>
        <v>0</v>
      </c>
      <c r="J18" s="106">
        <f>J17-J7</f>
        <v>0</v>
      </c>
      <c r="K18" s="106">
        <f>SUM(I18:J18)</f>
        <v>0</v>
      </c>
      <c r="L18" s="95"/>
    </row>
    <row r="19" spans="1:12" s="96" customFormat="1" ht="15">
      <c r="A19" s="93"/>
      <c r="B19" s="332"/>
      <c r="C19" s="333"/>
      <c r="D19" s="333"/>
      <c r="E19" s="333"/>
      <c r="F19" s="333"/>
      <c r="G19" s="333"/>
      <c r="H19" s="333"/>
      <c r="I19" s="333"/>
      <c r="J19" s="333"/>
      <c r="K19" s="334"/>
      <c r="L19" s="95"/>
    </row>
    <row r="20" spans="1:12" s="96" customFormat="1" ht="15" hidden="1" customHeight="1">
      <c r="A20" s="93"/>
      <c r="B20" s="332" t="s">
        <v>163</v>
      </c>
      <c r="C20" s="333"/>
      <c r="D20" s="333"/>
      <c r="E20" s="334"/>
      <c r="F20" s="229"/>
      <c r="G20" s="229"/>
      <c r="H20" s="230">
        <f>SUM(F20:G20)</f>
        <v>0</v>
      </c>
      <c r="I20" s="229"/>
      <c r="J20" s="229"/>
      <c r="K20" s="230">
        <f>SUM(I20:J20)</f>
        <v>0</v>
      </c>
      <c r="L20" s="95"/>
    </row>
    <row r="21" spans="1:12" ht="15.75" hidden="1" customHeight="1" thickBot="1">
      <c r="A21" s="108"/>
      <c r="B21" s="332"/>
      <c r="C21" s="333"/>
      <c r="D21" s="333"/>
      <c r="E21" s="333"/>
      <c r="F21" s="333"/>
      <c r="G21" s="333"/>
      <c r="H21" s="333"/>
      <c r="I21" s="333"/>
      <c r="J21" s="333"/>
      <c r="K21" s="334"/>
      <c r="L21" s="110"/>
    </row>
    <row r="22" spans="1:12" ht="15" hidden="1" customHeight="1">
      <c r="B22" s="332" t="s">
        <v>164</v>
      </c>
      <c r="C22" s="333"/>
      <c r="D22" s="333"/>
      <c r="E22" s="334"/>
      <c r="F22" s="231"/>
      <c r="G22" s="231"/>
      <c r="H22" s="232">
        <f>SUM(F22:G22)</f>
        <v>0</v>
      </c>
      <c r="I22" s="231"/>
      <c r="J22" s="231"/>
      <c r="K22" s="232">
        <f>SUM(I22:J22)</f>
        <v>0</v>
      </c>
    </row>
    <row r="23" spans="1:12" ht="12.75" hidden="1" customHeight="1">
      <c r="F23" s="247" t="s">
        <v>167</v>
      </c>
    </row>
    <row r="24" spans="1:12">
      <c r="F24" s="294"/>
      <c r="G24" s="294"/>
    </row>
  </sheetData>
  <mergeCells count="19"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  <mergeCell ref="B7:E7"/>
    <mergeCell ref="B6:E6"/>
    <mergeCell ref="H2:J2"/>
    <mergeCell ref="B4:E5"/>
    <mergeCell ref="F4:H4"/>
    <mergeCell ref="I4:K4"/>
    <mergeCell ref="B2:F2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H11" sqref="H11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7" t="s">
        <v>207</v>
      </c>
      <c r="H3" s="266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6" t="s">
        <v>50</v>
      </c>
      <c r="D5" s="348" t="s">
        <v>1</v>
      </c>
      <c r="E5" s="348"/>
      <c r="F5" s="348"/>
      <c r="G5" s="348" t="s">
        <v>204</v>
      </c>
      <c r="H5" s="348"/>
      <c r="I5" s="348"/>
      <c r="J5" s="91"/>
    </row>
    <row r="6" spans="2:10" ht="45">
      <c r="B6" s="182" t="s">
        <v>56</v>
      </c>
      <c r="C6" s="347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0</v>
      </c>
      <c r="E8" s="126">
        <v>0</v>
      </c>
      <c r="F8" s="126">
        <f t="shared" ref="F8:F35" si="0">E8-D8</f>
        <v>0</v>
      </c>
      <c r="G8" s="126">
        <v>100</v>
      </c>
      <c r="H8" s="126">
        <v>100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172</v>
      </c>
      <c r="D9" s="233">
        <v>0</v>
      </c>
      <c r="E9" s="233">
        <v>0</v>
      </c>
      <c r="F9" s="144">
        <f t="shared" si="0"/>
        <v>0</v>
      </c>
      <c r="G9" s="233"/>
      <c r="H9" s="233"/>
      <c r="I9" s="126">
        <f t="shared" si="1"/>
        <v>0</v>
      </c>
      <c r="J9" s="91"/>
    </row>
    <row r="10" spans="2:10" ht="15" customHeight="1">
      <c r="B10" s="181">
        <v>10.003</v>
      </c>
      <c r="C10" s="127" t="s">
        <v>208</v>
      </c>
      <c r="D10" s="233"/>
      <c r="E10" s="233"/>
      <c r="F10" s="144">
        <f t="shared" si="0"/>
        <v>0</v>
      </c>
      <c r="G10" s="233">
        <v>3283</v>
      </c>
      <c r="H10" s="233">
        <v>3283</v>
      </c>
      <c r="I10" s="126">
        <f t="shared" si="1"/>
        <v>0</v>
      </c>
      <c r="J10" s="91"/>
    </row>
    <row r="11" spans="2:10" ht="15" customHeight="1">
      <c r="B11" s="181">
        <v>10.004</v>
      </c>
      <c r="C11" s="130" t="s">
        <v>209</v>
      </c>
      <c r="D11" s="233"/>
      <c r="E11" s="234"/>
      <c r="F11" s="144">
        <f t="shared" si="0"/>
        <v>0</v>
      </c>
      <c r="G11" s="235">
        <v>250</v>
      </c>
      <c r="H11" s="235">
        <v>250</v>
      </c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3"/>
      <c r="E12" s="234"/>
      <c r="F12" s="144">
        <f t="shared" si="0"/>
        <v>0</v>
      </c>
      <c r="G12" s="236"/>
      <c r="H12" s="236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3"/>
      <c r="E13" s="234"/>
      <c r="F13" s="144">
        <f t="shared" si="0"/>
        <v>0</v>
      </c>
      <c r="G13" s="236"/>
      <c r="H13" s="236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6"/>
      <c r="D34" s="233"/>
      <c r="E34" s="234"/>
      <c r="F34" s="144">
        <f t="shared" si="0"/>
        <v>0</v>
      </c>
      <c r="G34" s="236"/>
      <c r="H34" s="236"/>
      <c r="I34" s="126"/>
      <c r="J34" s="91"/>
    </row>
    <row r="35" spans="2:14" ht="15" customHeight="1">
      <c r="B35" s="181">
        <v>10.026999999999999</v>
      </c>
      <c r="C35" s="130" t="s">
        <v>11</v>
      </c>
      <c r="D35" s="233"/>
      <c r="E35" s="234">
        <v>0</v>
      </c>
      <c r="F35" s="144">
        <f t="shared" si="0"/>
        <v>0</v>
      </c>
      <c r="G35" s="236">
        <f>60+230+150+171</f>
        <v>611</v>
      </c>
      <c r="H35" s="236">
        <v>611</v>
      </c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0</v>
      </c>
      <c r="E36" s="132">
        <f t="shared" si="2"/>
        <v>0</v>
      </c>
      <c r="F36" s="132">
        <f t="shared" si="2"/>
        <v>0</v>
      </c>
      <c r="G36" s="132">
        <f>SUM(G8:G35)</f>
        <v>4244</v>
      </c>
      <c r="H36" s="132">
        <f>SUM(H8:H35)</f>
        <v>4244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0</v>
      </c>
      <c r="E41" s="186">
        <v>0</v>
      </c>
      <c r="F41" s="126">
        <f t="shared" si="3"/>
        <v>0</v>
      </c>
      <c r="G41" s="186"/>
      <c r="H41" s="186"/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0</v>
      </c>
      <c r="H42" s="186">
        <v>0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17</v>
      </c>
      <c r="E46" s="186">
        <v>17</v>
      </c>
      <c r="F46" s="126">
        <f t="shared" si="3"/>
        <v>0</v>
      </c>
      <c r="G46" s="186">
        <v>1500</v>
      </c>
      <c r="H46" s="186">
        <v>1500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17</v>
      </c>
      <c r="E47" s="138">
        <f>SUM(E40:E46)</f>
        <v>17</v>
      </c>
      <c r="F47" s="138">
        <f t="shared" si="3"/>
        <v>0</v>
      </c>
      <c r="G47" s="138">
        <f>SUM(G40:G46)</f>
        <v>1500</v>
      </c>
      <c r="H47" s="138">
        <f>SUM(H40:H46)</f>
        <v>1500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/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>
        <v>0</v>
      </c>
      <c r="E57" s="186">
        <v>0</v>
      </c>
      <c r="F57" s="126">
        <f>E57-D57</f>
        <v>0</v>
      </c>
      <c r="G57" s="293">
        <v>0</v>
      </c>
      <c r="H57" s="293">
        <v>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0</v>
      </c>
      <c r="H59" s="141">
        <f>SUM(H57:H58)</f>
        <v>0</v>
      </c>
      <c r="I59" s="138">
        <f>H59-G59</f>
        <v>0</v>
      </c>
      <c r="J59" s="91"/>
    </row>
    <row r="60" spans="2:10" ht="9.75" customHeight="1">
      <c r="B60" s="181"/>
      <c r="C60" s="349"/>
      <c r="D60" s="350"/>
      <c r="E60" s="350"/>
      <c r="F60" s="350"/>
      <c r="G60" s="350"/>
      <c r="H60" s="350"/>
      <c r="I60" s="351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17</v>
      </c>
      <c r="E61" s="132">
        <f>E47+E54+E59</f>
        <v>17</v>
      </c>
      <c r="F61" s="132">
        <f>E61-D61</f>
        <v>0</v>
      </c>
      <c r="G61" s="132">
        <f>G47+G54+G59</f>
        <v>1500</v>
      </c>
      <c r="H61" s="132">
        <f>H47+H54+H59</f>
        <v>1500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0</v>
      </c>
      <c r="E64" s="186">
        <v>0</v>
      </c>
      <c r="F64" s="126">
        <f t="shared" ref="F64:F71" si="5">E64-D64</f>
        <v>0</v>
      </c>
      <c r="G64" s="178">
        <v>480</v>
      </c>
      <c r="H64" s="178">
        <v>480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0</v>
      </c>
      <c r="E72" s="132">
        <f t="shared" si="7"/>
        <v>0</v>
      </c>
      <c r="F72" s="132">
        <f t="shared" si="7"/>
        <v>0</v>
      </c>
      <c r="G72" s="132">
        <f t="shared" si="7"/>
        <v>480</v>
      </c>
      <c r="H72" s="132">
        <f t="shared" si="7"/>
        <v>480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2"/>
      <c r="D79" s="353"/>
      <c r="E79" s="353"/>
      <c r="F79" s="353"/>
      <c r="G79" s="353"/>
      <c r="H79" s="353"/>
      <c r="I79" s="354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17</v>
      </c>
      <c r="E80" s="132">
        <f t="shared" si="9"/>
        <v>17</v>
      </c>
      <c r="F80" s="132">
        <f t="shared" si="9"/>
        <v>0</v>
      </c>
      <c r="G80" s="132">
        <f t="shared" si="9"/>
        <v>6224</v>
      </c>
      <c r="H80" s="132">
        <f t="shared" si="9"/>
        <v>6224</v>
      </c>
      <c r="I80" s="132">
        <f t="shared" si="9"/>
        <v>0</v>
      </c>
      <c r="J80" s="91"/>
    </row>
    <row r="81" spans="2:12" ht="9.75" customHeight="1">
      <c r="B81" s="181"/>
      <c r="C81" s="352"/>
      <c r="D81" s="353"/>
      <c r="E81" s="353"/>
      <c r="F81" s="353"/>
      <c r="G81" s="353"/>
      <c r="H81" s="353"/>
      <c r="I81" s="354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45"/>
      <c r="D87" s="343"/>
      <c r="E87" s="343"/>
      <c r="F87" s="343"/>
      <c r="G87" s="343"/>
      <c r="H87" s="343"/>
      <c r="I87" s="344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17</v>
      </c>
      <c r="E88" s="132">
        <f t="shared" si="11"/>
        <v>17</v>
      </c>
      <c r="F88" s="132">
        <f t="shared" si="11"/>
        <v>0</v>
      </c>
      <c r="G88" s="132">
        <f t="shared" si="11"/>
        <v>6224</v>
      </c>
      <c r="H88" s="132">
        <f t="shared" si="11"/>
        <v>6224</v>
      </c>
      <c r="I88" s="132">
        <f t="shared" si="11"/>
        <v>0</v>
      </c>
      <c r="J88" s="91"/>
    </row>
    <row r="89" spans="2:12" ht="9.75" customHeight="1">
      <c r="B89" s="181"/>
      <c r="C89" s="342"/>
      <c r="D89" s="343"/>
      <c r="E89" s="343"/>
      <c r="F89" s="343"/>
      <c r="G89" s="343"/>
      <c r="H89" s="343"/>
      <c r="I89" s="344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45"/>
      <c r="D92" s="343"/>
      <c r="E92" s="343"/>
      <c r="F92" s="343"/>
      <c r="G92" s="343"/>
      <c r="H92" s="343"/>
      <c r="I92" s="344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17</v>
      </c>
      <c r="E93" s="153">
        <f t="shared" si="12"/>
        <v>17</v>
      </c>
      <c r="F93" s="153">
        <f t="shared" si="12"/>
        <v>0</v>
      </c>
      <c r="G93" s="153">
        <f t="shared" si="12"/>
        <v>6224</v>
      </c>
      <c r="H93" s="153">
        <f t="shared" si="12"/>
        <v>6224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v>17</v>
      </c>
      <c r="E96" s="186">
        <v>17</v>
      </c>
      <c r="F96" s="144">
        <f t="shared" ref="F96:F101" si="13">E96-D96</f>
        <v>0</v>
      </c>
      <c r="G96" s="178">
        <v>2691</v>
      </c>
      <c r="H96" s="178">
        <v>2691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0</v>
      </c>
      <c r="E97" s="186">
        <v>0</v>
      </c>
      <c r="F97" s="126">
        <f t="shared" si="13"/>
        <v>0</v>
      </c>
      <c r="G97" s="178">
        <f>250+3283</f>
        <v>3533</v>
      </c>
      <c r="H97" s="178">
        <f>250+3283</f>
        <v>3533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0</v>
      </c>
      <c r="E101" s="186">
        <v>0</v>
      </c>
      <c r="F101" s="126">
        <f t="shared" si="13"/>
        <v>0</v>
      </c>
      <c r="G101" s="178">
        <v>0</v>
      </c>
      <c r="H101" s="178">
        <v>0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17</v>
      </c>
      <c r="E102" s="132">
        <f t="shared" si="15"/>
        <v>17</v>
      </c>
      <c r="F102" s="132">
        <f t="shared" si="15"/>
        <v>0</v>
      </c>
      <c r="G102" s="132">
        <f t="shared" si="15"/>
        <v>6224</v>
      </c>
      <c r="H102" s="132">
        <f t="shared" si="15"/>
        <v>6224</v>
      </c>
      <c r="I102" s="132">
        <f t="shared" si="15"/>
        <v>0</v>
      </c>
      <c r="J102" s="91"/>
    </row>
    <row r="103" spans="2:10" ht="15" customHeight="1">
      <c r="B103" s="181"/>
      <c r="C103" s="355"/>
      <c r="D103" s="343"/>
      <c r="E103" s="343"/>
      <c r="F103" s="343"/>
      <c r="G103" s="343"/>
      <c r="H103" s="343"/>
      <c r="I103" s="343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0</v>
      </c>
      <c r="E104" s="196">
        <f>E102-E93</f>
        <v>0</v>
      </c>
      <c r="F104" s="196">
        <f>E104-D104</f>
        <v>0</v>
      </c>
      <c r="G104" s="196">
        <f>G102-G93</f>
        <v>0</v>
      </c>
      <c r="H104" s="196">
        <f>H102-H93</f>
        <v>0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6" t="s">
        <v>144</v>
      </c>
      <c r="D108" s="348" t="s">
        <v>1</v>
      </c>
      <c r="E108" s="348"/>
      <c r="F108" s="348"/>
      <c r="G108" s="348" t="s">
        <v>116</v>
      </c>
      <c r="H108" s="348"/>
      <c r="I108" s="348"/>
      <c r="J108" s="91"/>
    </row>
    <row r="109" spans="2:10" ht="45" hidden="1" customHeight="1">
      <c r="B109" s="182" t="s">
        <v>56</v>
      </c>
      <c r="C109" s="347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6" t="s">
        <v>149</v>
      </c>
      <c r="D153" s="348" t="s">
        <v>1</v>
      </c>
      <c r="E153" s="348"/>
      <c r="F153" s="348"/>
      <c r="G153" s="348" t="s">
        <v>116</v>
      </c>
      <c r="H153" s="348"/>
      <c r="I153" s="348"/>
      <c r="J153" s="91"/>
    </row>
    <row r="154" spans="2:11" ht="45" hidden="1" customHeight="1">
      <c r="B154" s="182" t="s">
        <v>56</v>
      </c>
      <c r="C154" s="347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17</v>
      </c>
      <c r="E166" s="214">
        <f>E164+E93</f>
        <v>17</v>
      </c>
      <c r="F166" s="214">
        <f>E166-D166</f>
        <v>0</v>
      </c>
      <c r="G166" s="214">
        <f>G164+G93</f>
        <v>6224</v>
      </c>
      <c r="H166" s="214">
        <f>H164+H93</f>
        <v>6224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50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153:C154"/>
    <mergeCell ref="D153:F153"/>
    <mergeCell ref="G153:I153"/>
    <mergeCell ref="C103:I103"/>
    <mergeCell ref="C108:C109"/>
    <mergeCell ref="D108:F108"/>
    <mergeCell ref="G108:I108"/>
    <mergeCell ref="C89:I89"/>
    <mergeCell ref="C92:I92"/>
    <mergeCell ref="C5:C6"/>
    <mergeCell ref="D5:F5"/>
    <mergeCell ref="G5:I5"/>
    <mergeCell ref="C60:I60"/>
    <mergeCell ref="C79:I79"/>
    <mergeCell ref="C81:I81"/>
    <mergeCell ref="C87:I87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brysonl</cp:lastModifiedBy>
  <cp:lastPrinted>2017-04-24T08:44:21Z</cp:lastPrinted>
  <dcterms:created xsi:type="dcterms:W3CDTF">2012-06-08T15:55:04Z</dcterms:created>
  <dcterms:modified xsi:type="dcterms:W3CDTF">2017-07-26T08:13:51Z</dcterms:modified>
</cp:coreProperties>
</file>