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15600" windowHeight="9225" activeTab="3"/>
  </bookViews>
  <sheets>
    <sheet name="Orthopaedics" sheetId="2" r:id="rId1"/>
    <sheet name="General Surgery" sheetId="3" r:id="rId2"/>
    <sheet name="Endoscopy " sheetId="5" r:id="rId3"/>
    <sheet name="All Activity" sheetId="4" r:id="rId4"/>
  </sheets>
  <externalReferences>
    <externalReference r:id="rId5"/>
  </externalReferences>
  <calcPr calcId="125725"/>
</workbook>
</file>

<file path=xl/calcChain.xml><?xml version="1.0" encoding="utf-8"?>
<calcChain xmlns="http://schemas.openxmlformats.org/spreadsheetml/2006/main">
  <c r="L22" i="3"/>
  <c r="L31" s="1"/>
  <c r="L34" s="1"/>
  <c r="D31" i="5"/>
  <c r="D33" s="1"/>
  <c r="E31"/>
  <c r="F31"/>
  <c r="G39" s="1"/>
  <c r="G31"/>
  <c r="H31"/>
  <c r="I31"/>
  <c r="I39" s="1"/>
  <c r="J31"/>
  <c r="K31"/>
  <c r="L31"/>
  <c r="L39" s="1"/>
  <c r="M31"/>
  <c r="M39" s="1"/>
  <c r="N31"/>
  <c r="O31"/>
  <c r="P31"/>
  <c r="Q39" s="1"/>
  <c r="Q31"/>
  <c r="D32"/>
  <c r="E40" s="1"/>
  <c r="E32"/>
  <c r="F32"/>
  <c r="F33" s="1"/>
  <c r="G32"/>
  <c r="H32"/>
  <c r="I32"/>
  <c r="J32"/>
  <c r="K32"/>
  <c r="L32"/>
  <c r="M32"/>
  <c r="N32"/>
  <c r="O32"/>
  <c r="O40" s="1"/>
  <c r="P32"/>
  <c r="P40" s="1"/>
  <c r="Q32"/>
  <c r="C32"/>
  <c r="C31"/>
  <c r="D30"/>
  <c r="E30"/>
  <c r="F30"/>
  <c r="G30"/>
  <c r="H30"/>
  <c r="I30"/>
  <c r="J30"/>
  <c r="K30"/>
  <c r="K38" s="1"/>
  <c r="L30"/>
  <c r="L38" s="1"/>
  <c r="M30"/>
  <c r="N38" s="1"/>
  <c r="N30"/>
  <c r="O30"/>
  <c r="P30"/>
  <c r="Q30"/>
  <c r="Q38" s="1"/>
  <c r="C30"/>
  <c r="D36"/>
  <c r="I36"/>
  <c r="L36"/>
  <c r="O36"/>
  <c r="L37"/>
  <c r="N37"/>
  <c r="P37"/>
  <c r="O38"/>
  <c r="J39"/>
  <c r="N39"/>
  <c r="O39"/>
  <c r="H40"/>
  <c r="M40"/>
  <c r="F65" i="2"/>
  <c r="G65"/>
  <c r="H65"/>
  <c r="I65"/>
  <c r="J65"/>
  <c r="K65"/>
  <c r="L65"/>
  <c r="M65"/>
  <c r="N65"/>
  <c r="O65"/>
  <c r="P65"/>
  <c r="Q65"/>
  <c r="R65"/>
  <c r="F66"/>
  <c r="G66"/>
  <c r="H66"/>
  <c r="I66"/>
  <c r="J66"/>
  <c r="K66"/>
  <c r="L66"/>
  <c r="M66"/>
  <c r="N66"/>
  <c r="O66"/>
  <c r="P66"/>
  <c r="Q66"/>
  <c r="R66"/>
  <c r="F67"/>
  <c r="G67"/>
  <c r="H67"/>
  <c r="I67"/>
  <c r="J67"/>
  <c r="K67"/>
  <c r="L67"/>
  <c r="M67"/>
  <c r="N67"/>
  <c r="O67"/>
  <c r="P67"/>
  <c r="Q67"/>
  <c r="R67"/>
  <c r="F68"/>
  <c r="G68"/>
  <c r="H68"/>
  <c r="I68"/>
  <c r="J68"/>
  <c r="K68"/>
  <c r="L68"/>
  <c r="M68"/>
  <c r="N68"/>
  <c r="O68"/>
  <c r="P68"/>
  <c r="Q68"/>
  <c r="R68"/>
  <c r="F69"/>
  <c r="G69"/>
  <c r="H69"/>
  <c r="I69"/>
  <c r="J69"/>
  <c r="K69"/>
  <c r="L69"/>
  <c r="M69"/>
  <c r="N69"/>
  <c r="O69"/>
  <c r="P69"/>
  <c r="Q69"/>
  <c r="R69"/>
  <c r="F70"/>
  <c r="G70"/>
  <c r="H70"/>
  <c r="I70"/>
  <c r="J70"/>
  <c r="K70"/>
  <c r="L70"/>
  <c r="M70"/>
  <c r="N70"/>
  <c r="O70"/>
  <c r="P70"/>
  <c r="Q70"/>
  <c r="R70"/>
  <c r="E66"/>
  <c r="E67"/>
  <c r="E68"/>
  <c r="E69"/>
  <c r="E70"/>
  <c r="E65"/>
  <c r="D61"/>
  <c r="D70" s="1"/>
  <c r="D66"/>
  <c r="D67"/>
  <c r="D68"/>
  <c r="D69"/>
  <c r="D65"/>
  <c r="F84"/>
  <c r="F89" s="1"/>
  <c r="G84"/>
  <c r="G89" s="1"/>
  <c r="H84"/>
  <c r="H89" s="1"/>
  <c r="I84"/>
  <c r="J84"/>
  <c r="J89" s="1"/>
  <c r="K84"/>
  <c r="K89" s="1"/>
  <c r="L84"/>
  <c r="L89" s="1"/>
  <c r="M84"/>
  <c r="N84"/>
  <c r="N89" s="1"/>
  <c r="O84"/>
  <c r="O89" s="1"/>
  <c r="P84"/>
  <c r="P89" s="1"/>
  <c r="Q84"/>
  <c r="R84"/>
  <c r="R89" s="1"/>
  <c r="F85"/>
  <c r="G85"/>
  <c r="H85"/>
  <c r="I85"/>
  <c r="J85"/>
  <c r="K85"/>
  <c r="L85"/>
  <c r="M85"/>
  <c r="N85"/>
  <c r="O85"/>
  <c r="P85"/>
  <c r="Q85"/>
  <c r="R85"/>
  <c r="F86"/>
  <c r="G86"/>
  <c r="H86"/>
  <c r="I86"/>
  <c r="J86"/>
  <c r="K86"/>
  <c r="L86"/>
  <c r="M86"/>
  <c r="N86"/>
  <c r="O86"/>
  <c r="P86"/>
  <c r="Q86"/>
  <c r="R86"/>
  <c r="F87"/>
  <c r="G87"/>
  <c r="H87"/>
  <c r="I87"/>
  <c r="J87"/>
  <c r="K87"/>
  <c r="L87"/>
  <c r="M87"/>
  <c r="N87"/>
  <c r="O87"/>
  <c r="P87"/>
  <c r="Q87"/>
  <c r="R87"/>
  <c r="F88"/>
  <c r="G88"/>
  <c r="H88"/>
  <c r="I88"/>
  <c r="J88"/>
  <c r="K88"/>
  <c r="L88"/>
  <c r="M88"/>
  <c r="N88"/>
  <c r="O88"/>
  <c r="P88"/>
  <c r="Q88"/>
  <c r="R88"/>
  <c r="I89"/>
  <c r="M89"/>
  <c r="Q89"/>
  <c r="E85"/>
  <c r="E86"/>
  <c r="E87"/>
  <c r="E88"/>
  <c r="E84"/>
  <c r="D85"/>
  <c r="D86"/>
  <c r="D87"/>
  <c r="D88"/>
  <c r="D89"/>
  <c r="D84"/>
  <c r="E74"/>
  <c r="F74"/>
  <c r="G74"/>
  <c r="H74"/>
  <c r="I74"/>
  <c r="J74"/>
  <c r="K74"/>
  <c r="L74"/>
  <c r="M74"/>
  <c r="N74"/>
  <c r="O74"/>
  <c r="P74"/>
  <c r="Q74"/>
  <c r="R74"/>
  <c r="E75"/>
  <c r="F75"/>
  <c r="G75"/>
  <c r="H75"/>
  <c r="H79" s="1"/>
  <c r="I75"/>
  <c r="I79" s="1"/>
  <c r="J75"/>
  <c r="K75"/>
  <c r="L75"/>
  <c r="M75"/>
  <c r="M79" s="1"/>
  <c r="N75"/>
  <c r="O75"/>
  <c r="P75"/>
  <c r="P79" s="1"/>
  <c r="Q75"/>
  <c r="Q79" s="1"/>
  <c r="R75"/>
  <c r="E76"/>
  <c r="F76"/>
  <c r="G76"/>
  <c r="H76"/>
  <c r="I76"/>
  <c r="J76"/>
  <c r="K76"/>
  <c r="L76"/>
  <c r="M76"/>
  <c r="N76"/>
  <c r="O76"/>
  <c r="P76"/>
  <c r="Q76"/>
  <c r="R76"/>
  <c r="E77"/>
  <c r="F77"/>
  <c r="G77"/>
  <c r="H77"/>
  <c r="I77"/>
  <c r="J77"/>
  <c r="K77"/>
  <c r="L77"/>
  <c r="M77"/>
  <c r="N77"/>
  <c r="O77"/>
  <c r="P77"/>
  <c r="Q77"/>
  <c r="R77"/>
  <c r="E78"/>
  <c r="F78"/>
  <c r="G78"/>
  <c r="H78"/>
  <c r="I78"/>
  <c r="J78"/>
  <c r="K78"/>
  <c r="L78"/>
  <c r="M78"/>
  <c r="N78"/>
  <c r="O78"/>
  <c r="P78"/>
  <c r="Q78"/>
  <c r="R78"/>
  <c r="E79"/>
  <c r="L79"/>
  <c r="D78"/>
  <c r="D77"/>
  <c r="D76"/>
  <c r="D75"/>
  <c r="D79" s="1"/>
  <c r="D74"/>
  <c r="E57"/>
  <c r="F57"/>
  <c r="G57"/>
  <c r="H57"/>
  <c r="I57"/>
  <c r="J57"/>
  <c r="K57"/>
  <c r="L57"/>
  <c r="M57"/>
  <c r="N57"/>
  <c r="O57"/>
  <c r="P57"/>
  <c r="Q57"/>
  <c r="R57"/>
  <c r="E58"/>
  <c r="F58"/>
  <c r="G58"/>
  <c r="H58"/>
  <c r="I58"/>
  <c r="J58"/>
  <c r="K58"/>
  <c r="K61" s="1"/>
  <c r="L58"/>
  <c r="M58"/>
  <c r="N58"/>
  <c r="O58"/>
  <c r="O61" s="1"/>
  <c r="P58"/>
  <c r="Q58"/>
  <c r="R58"/>
  <c r="E59"/>
  <c r="F59"/>
  <c r="G59"/>
  <c r="H59"/>
  <c r="I59"/>
  <c r="J59"/>
  <c r="K59"/>
  <c r="L59"/>
  <c r="M59"/>
  <c r="N59"/>
  <c r="O59"/>
  <c r="P59"/>
  <c r="Q59"/>
  <c r="R59"/>
  <c r="E60"/>
  <c r="F60"/>
  <c r="G60"/>
  <c r="H60"/>
  <c r="I60"/>
  <c r="J60"/>
  <c r="K60"/>
  <c r="L60"/>
  <c r="M60"/>
  <c r="N60"/>
  <c r="O60"/>
  <c r="P60"/>
  <c r="Q60"/>
  <c r="R60"/>
  <c r="D60"/>
  <c r="D59"/>
  <c r="D58"/>
  <c r="D57"/>
  <c r="E56"/>
  <c r="F56"/>
  <c r="G56"/>
  <c r="H56"/>
  <c r="I56"/>
  <c r="J56"/>
  <c r="K56"/>
  <c r="L56"/>
  <c r="M56"/>
  <c r="N56"/>
  <c r="O56"/>
  <c r="P56"/>
  <c r="Q56"/>
  <c r="R56"/>
  <c r="D56"/>
  <c r="E73"/>
  <c r="F73" s="1"/>
  <c r="G73" s="1"/>
  <c r="H73" s="1"/>
  <c r="I73" s="1"/>
  <c r="J73" s="1"/>
  <c r="K73" s="1"/>
  <c r="L73" s="1"/>
  <c r="M73" s="1"/>
  <c r="N73" s="1"/>
  <c r="O73" s="1"/>
  <c r="P73" s="1"/>
  <c r="Q73" s="1"/>
  <c r="R73" s="1"/>
  <c r="E83"/>
  <c r="F83" s="1"/>
  <c r="G83" s="1"/>
  <c r="H83" s="1"/>
  <c r="I83" s="1"/>
  <c r="J83" s="1"/>
  <c r="K83" s="1"/>
  <c r="L83" s="1"/>
  <c r="M83" s="1"/>
  <c r="N83" s="1"/>
  <c r="O83" s="1"/>
  <c r="P83" s="1"/>
  <c r="Q83" s="1"/>
  <c r="R83" s="1"/>
  <c r="E64"/>
  <c r="F64" s="1"/>
  <c r="G64" s="1"/>
  <c r="H64" s="1"/>
  <c r="I64" s="1"/>
  <c r="J64" s="1"/>
  <c r="K64" s="1"/>
  <c r="L64" s="1"/>
  <c r="M64" s="1"/>
  <c r="N64" s="1"/>
  <c r="O64" s="1"/>
  <c r="P64" s="1"/>
  <c r="Q64" s="1"/>
  <c r="R64" s="1"/>
  <c r="M61"/>
  <c r="I61"/>
  <c r="G55"/>
  <c r="H55" s="1"/>
  <c r="I55" s="1"/>
  <c r="J55" s="1"/>
  <c r="K55" s="1"/>
  <c r="L55" s="1"/>
  <c r="M55" s="1"/>
  <c r="N55" s="1"/>
  <c r="O55" s="1"/>
  <c r="P55" s="1"/>
  <c r="Q55" s="1"/>
  <c r="R55" s="1"/>
  <c r="F55"/>
  <c r="E55"/>
  <c r="D34" i="3"/>
  <c r="E34"/>
  <c r="F34"/>
  <c r="G34"/>
  <c r="H34"/>
  <c r="I34"/>
  <c r="J34"/>
  <c r="N34"/>
  <c r="O34"/>
  <c r="P34"/>
  <c r="Q34"/>
  <c r="C34"/>
  <c r="F29"/>
  <c r="G29"/>
  <c r="H29"/>
  <c r="I29"/>
  <c r="L29"/>
  <c r="M29"/>
  <c r="N29"/>
  <c r="O29"/>
  <c r="P29"/>
  <c r="Q29"/>
  <c r="E30"/>
  <c r="F30"/>
  <c r="G30"/>
  <c r="H30"/>
  <c r="I30"/>
  <c r="J30"/>
  <c r="K30"/>
  <c r="L30"/>
  <c r="M30"/>
  <c r="N30"/>
  <c r="O30"/>
  <c r="P30"/>
  <c r="Q30"/>
  <c r="E31"/>
  <c r="F31"/>
  <c r="G31"/>
  <c r="H31"/>
  <c r="I31"/>
  <c r="J31"/>
  <c r="K31"/>
  <c r="K34" s="1"/>
  <c r="N31"/>
  <c r="O31"/>
  <c r="P31"/>
  <c r="Q31"/>
  <c r="E32"/>
  <c r="F32"/>
  <c r="G32"/>
  <c r="H32"/>
  <c r="I32"/>
  <c r="J32"/>
  <c r="K32"/>
  <c r="L32"/>
  <c r="M32"/>
  <c r="N32"/>
  <c r="O32"/>
  <c r="P32"/>
  <c r="Q32"/>
  <c r="E33"/>
  <c r="F33"/>
  <c r="G33"/>
  <c r="H33"/>
  <c r="I33"/>
  <c r="J33"/>
  <c r="K33"/>
  <c r="L33"/>
  <c r="O33"/>
  <c r="P33"/>
  <c r="Q33"/>
  <c r="D30"/>
  <c r="D31"/>
  <c r="D32"/>
  <c r="D33"/>
  <c r="F25"/>
  <c r="G25"/>
  <c r="J20"/>
  <c r="N25"/>
  <c r="O25"/>
  <c r="E25"/>
  <c r="Q25"/>
  <c r="K25"/>
  <c r="M24"/>
  <c r="D20"/>
  <c r="H25"/>
  <c r="P25"/>
  <c r="C25"/>
  <c r="C30"/>
  <c r="C31"/>
  <c r="C32"/>
  <c r="C33"/>
  <c r="C29"/>
  <c r="E17"/>
  <c r="F17"/>
  <c r="G17"/>
  <c r="H17"/>
  <c r="I17"/>
  <c r="J17"/>
  <c r="K17"/>
  <c r="L17"/>
  <c r="M17"/>
  <c r="N17"/>
  <c r="O17"/>
  <c r="P17"/>
  <c r="Q17"/>
  <c r="E12"/>
  <c r="F12"/>
  <c r="G12"/>
  <c r="H12"/>
  <c r="I12"/>
  <c r="J12"/>
  <c r="K12"/>
  <c r="L12"/>
  <c r="M12"/>
  <c r="N12"/>
  <c r="O12"/>
  <c r="P12"/>
  <c r="Q12"/>
  <c r="E13"/>
  <c r="F13"/>
  <c r="G13"/>
  <c r="H13"/>
  <c r="K13"/>
  <c r="L13"/>
  <c r="M13"/>
  <c r="N13"/>
  <c r="O13"/>
  <c r="P13"/>
  <c r="Q13"/>
  <c r="E14"/>
  <c r="F14"/>
  <c r="G14"/>
  <c r="H14"/>
  <c r="I14"/>
  <c r="L14"/>
  <c r="M14"/>
  <c r="N14"/>
  <c r="O14"/>
  <c r="P14"/>
  <c r="Q14"/>
  <c r="E15"/>
  <c r="F15"/>
  <c r="H15"/>
  <c r="I15"/>
  <c r="L15"/>
  <c r="M15"/>
  <c r="N15"/>
  <c r="O15"/>
  <c r="E16"/>
  <c r="F16"/>
  <c r="G16"/>
  <c r="H16"/>
  <c r="I16"/>
  <c r="K16"/>
  <c r="L16"/>
  <c r="M16"/>
  <c r="N16"/>
  <c r="O16"/>
  <c r="P16"/>
  <c r="Q16"/>
  <c r="D13"/>
  <c r="D14"/>
  <c r="D15"/>
  <c r="D16"/>
  <c r="D17"/>
  <c r="D12"/>
  <c r="C17"/>
  <c r="C13"/>
  <c r="C14"/>
  <c r="C15"/>
  <c r="C16"/>
  <c r="C12"/>
  <c r="I5"/>
  <c r="I13" s="1"/>
  <c r="J6"/>
  <c r="K14" s="1"/>
  <c r="G7"/>
  <c r="G15" s="1"/>
  <c r="J7"/>
  <c r="K15" s="1"/>
  <c r="P7"/>
  <c r="P15" s="1"/>
  <c r="Q7"/>
  <c r="J8"/>
  <c r="J16" s="1"/>
  <c r="J36" i="5"/>
  <c r="G37"/>
  <c r="K37"/>
  <c r="F38"/>
  <c r="J40"/>
  <c r="D13"/>
  <c r="E13"/>
  <c r="F13"/>
  <c r="G13"/>
  <c r="H13"/>
  <c r="H21" s="1"/>
  <c r="I13"/>
  <c r="I21" s="1"/>
  <c r="J13"/>
  <c r="K13"/>
  <c r="L13"/>
  <c r="L21" s="1"/>
  <c r="M13"/>
  <c r="N13"/>
  <c r="O13"/>
  <c r="P13"/>
  <c r="Q13"/>
  <c r="D14"/>
  <c r="E22" s="1"/>
  <c r="E14"/>
  <c r="F14"/>
  <c r="F22" s="1"/>
  <c r="G14"/>
  <c r="G22" s="1"/>
  <c r="H14"/>
  <c r="I14"/>
  <c r="J14"/>
  <c r="K22" s="1"/>
  <c r="K14"/>
  <c r="L14"/>
  <c r="M22" s="1"/>
  <c r="M14"/>
  <c r="N14"/>
  <c r="N22" s="1"/>
  <c r="O14"/>
  <c r="O22" s="1"/>
  <c r="P14"/>
  <c r="Q14"/>
  <c r="D15"/>
  <c r="E23" s="1"/>
  <c r="E15"/>
  <c r="F15"/>
  <c r="G23" s="1"/>
  <c r="G15"/>
  <c r="H15"/>
  <c r="H23" s="1"/>
  <c r="I15"/>
  <c r="J15"/>
  <c r="K23" s="1"/>
  <c r="K15"/>
  <c r="L15"/>
  <c r="L23" s="1"/>
  <c r="M15"/>
  <c r="N15"/>
  <c r="O23" s="1"/>
  <c r="O15"/>
  <c r="P15"/>
  <c r="Q15"/>
  <c r="D16"/>
  <c r="E16"/>
  <c r="F16"/>
  <c r="F24" s="1"/>
  <c r="G16"/>
  <c r="H16"/>
  <c r="I24" s="1"/>
  <c r="I16"/>
  <c r="J16"/>
  <c r="K16"/>
  <c r="K24" s="1"/>
  <c r="L16"/>
  <c r="M16"/>
  <c r="N16"/>
  <c r="O16"/>
  <c r="O24" s="1"/>
  <c r="P16"/>
  <c r="Q16"/>
  <c r="C16"/>
  <c r="C15"/>
  <c r="C14"/>
  <c r="C13"/>
  <c r="D12"/>
  <c r="E12"/>
  <c r="F20" s="1"/>
  <c r="F12"/>
  <c r="G12"/>
  <c r="H12"/>
  <c r="I12"/>
  <c r="I20" s="1"/>
  <c r="J12"/>
  <c r="K12"/>
  <c r="L12"/>
  <c r="M12"/>
  <c r="N20" s="1"/>
  <c r="N12"/>
  <c r="O12"/>
  <c r="P12"/>
  <c r="Q12"/>
  <c r="C12"/>
  <c r="L40"/>
  <c r="E39"/>
  <c r="C39"/>
  <c r="H38"/>
  <c r="G38"/>
  <c r="O37"/>
  <c r="J37"/>
  <c r="F37"/>
  <c r="Q36"/>
  <c r="M36"/>
  <c r="E36"/>
  <c r="C27"/>
  <c r="L22"/>
  <c r="O21"/>
  <c r="K21"/>
  <c r="G21"/>
  <c r="N24"/>
  <c r="L24"/>
  <c r="H24"/>
  <c r="N23"/>
  <c r="J23"/>
  <c r="F23"/>
  <c r="J22"/>
  <c r="I22"/>
  <c r="N21"/>
  <c r="E21"/>
  <c r="O20"/>
  <c r="L20"/>
  <c r="K20"/>
  <c r="G20"/>
  <c r="F17"/>
  <c r="P11"/>
  <c r="Q11" s="1"/>
  <c r="C11"/>
  <c r="C24" s="1"/>
  <c r="O7"/>
  <c r="N7"/>
  <c r="M7"/>
  <c r="L7"/>
  <c r="K7"/>
  <c r="J7"/>
  <c r="I7"/>
  <c r="H7"/>
  <c r="G7"/>
  <c r="F7"/>
  <c r="E7"/>
  <c r="D7"/>
  <c r="C6"/>
  <c r="Q5"/>
  <c r="Q7" s="1"/>
  <c r="P5"/>
  <c r="P7" s="1"/>
  <c r="C5"/>
  <c r="C7" s="1"/>
  <c r="M31" i="3" l="1"/>
  <c r="M34" s="1"/>
  <c r="P33" i="5"/>
  <c r="H33"/>
  <c r="I38"/>
  <c r="P38"/>
  <c r="L33"/>
  <c r="F39"/>
  <c r="Q40"/>
  <c r="E89" i="2"/>
  <c r="N79"/>
  <c r="F79"/>
  <c r="O79"/>
  <c r="K79"/>
  <c r="G79"/>
  <c r="R79"/>
  <c r="J79"/>
  <c r="P61"/>
  <c r="G61"/>
  <c r="Q61"/>
  <c r="E61"/>
  <c r="R61"/>
  <c r="N61"/>
  <c r="J61"/>
  <c r="H61"/>
  <c r="F61"/>
  <c r="L61"/>
  <c r="D25" i="3"/>
  <c r="J13"/>
  <c r="Q15"/>
  <c r="J14"/>
  <c r="J15"/>
  <c r="H37" i="5"/>
  <c r="H39"/>
  <c r="P39"/>
  <c r="G36"/>
  <c r="I40"/>
  <c r="K39"/>
  <c r="N33"/>
  <c r="G40"/>
  <c r="G41" s="1"/>
  <c r="D39"/>
  <c r="J17"/>
  <c r="I23"/>
  <c r="M23"/>
  <c r="G24"/>
  <c r="H17"/>
  <c r="N17"/>
  <c r="H22"/>
  <c r="D40"/>
  <c r="C40"/>
  <c r="L41"/>
  <c r="O41"/>
  <c r="D21"/>
  <c r="D24"/>
  <c r="D37"/>
  <c r="E17"/>
  <c r="M17"/>
  <c r="N25" s="1"/>
  <c r="J20"/>
  <c r="J24"/>
  <c r="G33"/>
  <c r="O33"/>
  <c r="H36"/>
  <c r="E37"/>
  <c r="M37"/>
  <c r="J38"/>
  <c r="J41" s="1"/>
  <c r="P22"/>
  <c r="P23"/>
  <c r="D17"/>
  <c r="L17"/>
  <c r="E20"/>
  <c r="M20"/>
  <c r="F21"/>
  <c r="J21"/>
  <c r="E24"/>
  <c r="M24"/>
  <c r="J33"/>
  <c r="C36"/>
  <c r="K36"/>
  <c r="E38"/>
  <c r="M38"/>
  <c r="K40"/>
  <c r="C21"/>
  <c r="C23"/>
  <c r="G17"/>
  <c r="G25" s="1"/>
  <c r="K17"/>
  <c r="O17"/>
  <c r="H20"/>
  <c r="M21"/>
  <c r="C38"/>
  <c r="E33"/>
  <c r="I33"/>
  <c r="M33"/>
  <c r="Q33"/>
  <c r="F36"/>
  <c r="N36"/>
  <c r="F40"/>
  <c r="N40"/>
  <c r="I17"/>
  <c r="C33"/>
  <c r="K33"/>
  <c r="P36"/>
  <c r="P41" s="1"/>
  <c r="I37"/>
  <c r="Q37"/>
  <c r="P21"/>
  <c r="P24"/>
  <c r="C37"/>
  <c r="F30" i="2"/>
  <c r="G30"/>
  <c r="H30"/>
  <c r="I30"/>
  <c r="J30"/>
  <c r="K30"/>
  <c r="L30"/>
  <c r="M30"/>
  <c r="N30"/>
  <c r="O30"/>
  <c r="P30"/>
  <c r="Q30"/>
  <c r="R30"/>
  <c r="F31"/>
  <c r="G31"/>
  <c r="H31"/>
  <c r="I31"/>
  <c r="J31"/>
  <c r="K31"/>
  <c r="L31"/>
  <c r="M31"/>
  <c r="N31"/>
  <c r="O31"/>
  <c r="P31"/>
  <c r="Q31"/>
  <c r="R31"/>
  <c r="F32"/>
  <c r="G32"/>
  <c r="H32"/>
  <c r="I32"/>
  <c r="J32"/>
  <c r="K32"/>
  <c r="L32"/>
  <c r="M32"/>
  <c r="N32"/>
  <c r="O32"/>
  <c r="P32"/>
  <c r="Q32"/>
  <c r="R32"/>
  <c r="F33"/>
  <c r="G33"/>
  <c r="H33"/>
  <c r="I33"/>
  <c r="J33"/>
  <c r="K33"/>
  <c r="L33"/>
  <c r="M33"/>
  <c r="N33"/>
  <c r="O33"/>
  <c r="P33"/>
  <c r="Q33"/>
  <c r="R33"/>
  <c r="F34"/>
  <c r="G34"/>
  <c r="H34"/>
  <c r="I34"/>
  <c r="J34"/>
  <c r="K34"/>
  <c r="L34"/>
  <c r="M34"/>
  <c r="N34"/>
  <c r="O34"/>
  <c r="P34"/>
  <c r="Q34"/>
  <c r="R34"/>
  <c r="E31"/>
  <c r="E32"/>
  <c r="E33"/>
  <c r="E34"/>
  <c r="E30"/>
  <c r="D31"/>
  <c r="D32"/>
  <c r="D33"/>
  <c r="D34"/>
  <c r="D30"/>
  <c r="F13"/>
  <c r="G13"/>
  <c r="H13"/>
  <c r="I13"/>
  <c r="J13"/>
  <c r="K13"/>
  <c r="L13"/>
  <c r="M13"/>
  <c r="N13"/>
  <c r="O13"/>
  <c r="P13"/>
  <c r="Q13"/>
  <c r="R13"/>
  <c r="F14"/>
  <c r="G14"/>
  <c r="H14"/>
  <c r="I14"/>
  <c r="J14"/>
  <c r="K14"/>
  <c r="L14"/>
  <c r="M14"/>
  <c r="N14"/>
  <c r="O14"/>
  <c r="P14"/>
  <c r="Q14"/>
  <c r="R14"/>
  <c r="F15"/>
  <c r="G15"/>
  <c r="H15"/>
  <c r="I15"/>
  <c r="J15"/>
  <c r="K15"/>
  <c r="L15"/>
  <c r="M15"/>
  <c r="N15"/>
  <c r="O15"/>
  <c r="P15"/>
  <c r="Q15"/>
  <c r="R15"/>
  <c r="F16"/>
  <c r="G16"/>
  <c r="H16"/>
  <c r="I16"/>
  <c r="J16"/>
  <c r="K16"/>
  <c r="L16"/>
  <c r="M16"/>
  <c r="N16"/>
  <c r="O16"/>
  <c r="P16"/>
  <c r="Q16"/>
  <c r="R16"/>
  <c r="F17"/>
  <c r="G17"/>
  <c r="H17"/>
  <c r="I17"/>
  <c r="J17"/>
  <c r="K17"/>
  <c r="L17"/>
  <c r="M17"/>
  <c r="N17"/>
  <c r="O17"/>
  <c r="P17"/>
  <c r="Q17"/>
  <c r="R17"/>
  <c r="E14"/>
  <c r="E15"/>
  <c r="E16"/>
  <c r="E17"/>
  <c r="E13"/>
  <c r="D14"/>
  <c r="D15"/>
  <c r="D16"/>
  <c r="D17"/>
  <c r="D13"/>
  <c r="F47"/>
  <c r="I47"/>
  <c r="J47"/>
  <c r="M47"/>
  <c r="N47"/>
  <c r="Q47"/>
  <c r="R47"/>
  <c r="D50"/>
  <c r="D52"/>
  <c r="D47"/>
  <c r="G46"/>
  <c r="H46" s="1"/>
  <c r="I46" s="1"/>
  <c r="J46" s="1"/>
  <c r="K46" s="1"/>
  <c r="L46" s="1"/>
  <c r="M46" s="1"/>
  <c r="N46" s="1"/>
  <c r="O46" s="1"/>
  <c r="P46" s="1"/>
  <c r="Q46" s="1"/>
  <c r="R46" s="1"/>
  <c r="F46"/>
  <c r="E46"/>
  <c r="F38"/>
  <c r="G38" s="1"/>
  <c r="H38" s="1"/>
  <c r="I38" s="1"/>
  <c r="J38" s="1"/>
  <c r="K38" s="1"/>
  <c r="L38" s="1"/>
  <c r="M38" s="1"/>
  <c r="N38" s="1"/>
  <c r="O38" s="1"/>
  <c r="P38" s="1"/>
  <c r="Q38" s="1"/>
  <c r="R38" s="1"/>
  <c r="E38"/>
  <c r="E40"/>
  <c r="F48" s="1"/>
  <c r="F40"/>
  <c r="G40"/>
  <c r="G48" s="1"/>
  <c r="H40"/>
  <c r="I48" s="1"/>
  <c r="I40"/>
  <c r="J48" s="1"/>
  <c r="J40"/>
  <c r="K40"/>
  <c r="L48" s="1"/>
  <c r="L40"/>
  <c r="M48" s="1"/>
  <c r="M40"/>
  <c r="N48" s="1"/>
  <c r="N40"/>
  <c r="O40"/>
  <c r="O48" s="1"/>
  <c r="P40"/>
  <c r="Q48" s="1"/>
  <c r="Q40"/>
  <c r="R48" s="1"/>
  <c r="E41"/>
  <c r="F41"/>
  <c r="G49" s="1"/>
  <c r="G41"/>
  <c r="H49" s="1"/>
  <c r="H41"/>
  <c r="I49" s="1"/>
  <c r="I41"/>
  <c r="J41"/>
  <c r="J49" s="1"/>
  <c r="K41"/>
  <c r="L49" s="1"/>
  <c r="L41"/>
  <c r="M49" s="1"/>
  <c r="M41"/>
  <c r="N41"/>
  <c r="O49" s="1"/>
  <c r="O41"/>
  <c r="P49" s="1"/>
  <c r="P41"/>
  <c r="Q49" s="1"/>
  <c r="Q41"/>
  <c r="R49" s="1"/>
  <c r="E42"/>
  <c r="E50" s="1"/>
  <c r="F42"/>
  <c r="G50" s="1"/>
  <c r="G42"/>
  <c r="H50" s="1"/>
  <c r="H42"/>
  <c r="I42"/>
  <c r="J50" s="1"/>
  <c r="J42"/>
  <c r="K50" s="1"/>
  <c r="K42"/>
  <c r="L50" s="1"/>
  <c r="L42"/>
  <c r="M42"/>
  <c r="M50" s="1"/>
  <c r="N42"/>
  <c r="O50" s="1"/>
  <c r="O42"/>
  <c r="P50" s="1"/>
  <c r="P42"/>
  <c r="Q42"/>
  <c r="R50" s="1"/>
  <c r="E43"/>
  <c r="F51" s="1"/>
  <c r="F43"/>
  <c r="G51" s="1"/>
  <c r="G43"/>
  <c r="H43"/>
  <c r="H51" s="1"/>
  <c r="I43"/>
  <c r="J51" s="1"/>
  <c r="J43"/>
  <c r="K51" s="1"/>
  <c r="K43"/>
  <c r="L43"/>
  <c r="L51" s="1"/>
  <c r="M43"/>
  <c r="N51" s="1"/>
  <c r="N43"/>
  <c r="O51" s="1"/>
  <c r="O43"/>
  <c r="P43"/>
  <c r="Q51" s="1"/>
  <c r="Q43"/>
  <c r="R51" s="1"/>
  <c r="D43"/>
  <c r="D51" s="1"/>
  <c r="D42"/>
  <c r="D41"/>
  <c r="E49" s="1"/>
  <c r="D40"/>
  <c r="D48" s="1"/>
  <c r="E39"/>
  <c r="E47" s="1"/>
  <c r="F39"/>
  <c r="G39"/>
  <c r="G47" s="1"/>
  <c r="H39"/>
  <c r="H47" s="1"/>
  <c r="I39"/>
  <c r="J39"/>
  <c r="K39"/>
  <c r="K47" s="1"/>
  <c r="L39"/>
  <c r="L47" s="1"/>
  <c r="M39"/>
  <c r="N39"/>
  <c r="O39"/>
  <c r="O47" s="1"/>
  <c r="P39"/>
  <c r="P47" s="1"/>
  <c r="Q39"/>
  <c r="D39"/>
  <c r="Q41" i="5" l="1"/>
  <c r="I41"/>
  <c r="O52" i="2"/>
  <c r="K52"/>
  <c r="G52"/>
  <c r="P52"/>
  <c r="L52"/>
  <c r="M52"/>
  <c r="D49"/>
  <c r="M51"/>
  <c r="I51"/>
  <c r="N50"/>
  <c r="F50"/>
  <c r="K49"/>
  <c r="P48"/>
  <c r="H48"/>
  <c r="H52" s="1"/>
  <c r="E48"/>
  <c r="E52" s="1"/>
  <c r="R52"/>
  <c r="J52"/>
  <c r="E51"/>
  <c r="P51"/>
  <c r="Q50"/>
  <c r="Q52" s="1"/>
  <c r="I50"/>
  <c r="I52" s="1"/>
  <c r="N49"/>
  <c r="N52" s="1"/>
  <c r="F49"/>
  <c r="K48"/>
  <c r="F52"/>
  <c r="M41" i="5"/>
  <c r="H41"/>
  <c r="K25"/>
  <c r="I25"/>
  <c r="O25"/>
  <c r="H25"/>
  <c r="C41"/>
  <c r="N41"/>
  <c r="E41"/>
  <c r="J25"/>
  <c r="E25"/>
  <c r="L25"/>
  <c r="P17"/>
  <c r="P25" s="1"/>
  <c r="P20"/>
  <c r="Q20"/>
  <c r="Q17"/>
  <c r="Q24"/>
  <c r="C20"/>
  <c r="C17"/>
  <c r="C25" s="1"/>
  <c r="Q23"/>
  <c r="Q22"/>
  <c r="D22"/>
  <c r="C22"/>
  <c r="Q21"/>
  <c r="K41"/>
  <c r="D23"/>
  <c r="D38"/>
  <c r="D41" s="1"/>
  <c r="F41"/>
  <c r="M25"/>
  <c r="D20"/>
  <c r="F25"/>
  <c r="R35" i="2"/>
  <c r="Q35"/>
  <c r="P35"/>
  <c r="O35"/>
  <c r="N35"/>
  <c r="M35"/>
  <c r="L35"/>
  <c r="K35"/>
  <c r="J35"/>
  <c r="I35"/>
  <c r="H35"/>
  <c r="G35"/>
  <c r="F35"/>
  <c r="E35"/>
  <c r="D35"/>
  <c r="E29"/>
  <c r="F29" s="1"/>
  <c r="G29" s="1"/>
  <c r="H29" s="1"/>
  <c r="I29" s="1"/>
  <c r="J29" s="1"/>
  <c r="K29" s="1"/>
  <c r="L29" s="1"/>
  <c r="M29" s="1"/>
  <c r="N29" s="1"/>
  <c r="O29" s="1"/>
  <c r="P29" s="1"/>
  <c r="Q29" s="1"/>
  <c r="R29" s="1"/>
  <c r="R18"/>
  <c r="Q18"/>
  <c r="P18"/>
  <c r="O18"/>
  <c r="N18"/>
  <c r="M18"/>
  <c r="L18"/>
  <c r="K18"/>
  <c r="J18"/>
  <c r="I18"/>
  <c r="H18"/>
  <c r="G18"/>
  <c r="F18"/>
  <c r="E18"/>
  <c r="D18"/>
  <c r="E12"/>
  <c r="F12" s="1"/>
  <c r="G12" s="1"/>
  <c r="H12" s="1"/>
  <c r="I12" s="1"/>
  <c r="J12" s="1"/>
  <c r="K12" s="1"/>
  <c r="L12" s="1"/>
  <c r="M12" s="1"/>
  <c r="N12" s="1"/>
  <c r="O12" s="1"/>
  <c r="P12" s="1"/>
  <c r="Q12" s="1"/>
  <c r="R12" s="1"/>
  <c r="R26"/>
  <c r="Q26"/>
  <c r="P26"/>
  <c r="O26"/>
  <c r="N26"/>
  <c r="M26"/>
  <c r="L26"/>
  <c r="K26"/>
  <c r="J26"/>
  <c r="I26"/>
  <c r="H26"/>
  <c r="G26"/>
  <c r="F26"/>
  <c r="E26"/>
  <c r="D26"/>
  <c r="E20"/>
  <c r="F20" s="1"/>
  <c r="G20" s="1"/>
  <c r="H20" s="1"/>
  <c r="I20" s="1"/>
  <c r="J20" s="1"/>
  <c r="K20" s="1"/>
  <c r="L20" s="1"/>
  <c r="M20" s="1"/>
  <c r="N20" s="1"/>
  <c r="O20" s="1"/>
  <c r="P20" s="1"/>
  <c r="Q20" s="1"/>
  <c r="R20" s="1"/>
  <c r="R10"/>
  <c r="Q10"/>
  <c r="P10"/>
  <c r="O10"/>
  <c r="N10"/>
  <c r="M10"/>
  <c r="L10"/>
  <c r="K10"/>
  <c r="J10"/>
  <c r="I10"/>
  <c r="H10"/>
  <c r="G10"/>
  <c r="F10"/>
  <c r="E10"/>
  <c r="D10"/>
  <c r="E4"/>
  <c r="F4" s="1"/>
  <c r="G4" s="1"/>
  <c r="H4" s="1"/>
  <c r="I4" s="1"/>
  <c r="J4" s="1"/>
  <c r="K4" s="1"/>
  <c r="L4" s="1"/>
  <c r="M4" s="1"/>
  <c r="N4" s="1"/>
  <c r="O4" s="1"/>
  <c r="P4" s="1"/>
  <c r="Q4" s="1"/>
  <c r="R4" s="1"/>
  <c r="Q25" i="5" l="1"/>
  <c r="D25"/>
  <c r="G33" i="4" l="1"/>
  <c r="U28"/>
  <c r="V28" s="1"/>
  <c r="T28"/>
  <c r="S28"/>
  <c r="R28"/>
  <c r="Q28"/>
  <c r="P28"/>
  <c r="O28"/>
  <c r="N28"/>
  <c r="M28"/>
  <c r="L28"/>
  <c r="K28"/>
  <c r="J28"/>
  <c r="I28"/>
  <c r="H28"/>
  <c r="T27"/>
  <c r="S27"/>
  <c r="R27"/>
  <c r="Q27"/>
  <c r="P27"/>
  <c r="O27"/>
  <c r="N27"/>
  <c r="M27"/>
  <c r="L27"/>
  <c r="K27"/>
  <c r="J27"/>
  <c r="I27"/>
  <c r="E27"/>
  <c r="H26"/>
  <c r="U25"/>
  <c r="V25" s="1"/>
  <c r="V27" s="1"/>
  <c r="H25"/>
  <c r="E22"/>
  <c r="U21"/>
  <c r="V21" s="1"/>
  <c r="T21"/>
  <c r="S21"/>
  <c r="R21"/>
  <c r="Q21"/>
  <c r="P21"/>
  <c r="O21"/>
  <c r="N21"/>
  <c r="M21"/>
  <c r="L21"/>
  <c r="K21"/>
  <c r="J21"/>
  <c r="I21"/>
  <c r="H21"/>
  <c r="U20"/>
  <c r="V20" s="1"/>
  <c r="T20"/>
  <c r="S20"/>
  <c r="R20"/>
  <c r="Q20"/>
  <c r="P20"/>
  <c r="O20"/>
  <c r="N20"/>
  <c r="M20"/>
  <c r="L20"/>
  <c r="K20"/>
  <c r="J20"/>
  <c r="I20"/>
  <c r="H20"/>
  <c r="V18"/>
  <c r="U18"/>
  <c r="T18"/>
  <c r="S18"/>
  <c r="R18"/>
  <c r="Q18"/>
  <c r="P18"/>
  <c r="O18"/>
  <c r="N18"/>
  <c r="M18"/>
  <c r="L18"/>
  <c r="K18"/>
  <c r="J18"/>
  <c r="I18"/>
  <c r="H18"/>
  <c r="E17"/>
  <c r="C17"/>
  <c r="C30" s="1"/>
  <c r="C33" s="1"/>
  <c r="U14"/>
  <c r="V14" s="1"/>
  <c r="T14"/>
  <c r="S14"/>
  <c r="R14"/>
  <c r="Q14"/>
  <c r="P14"/>
  <c r="O14"/>
  <c r="N14"/>
  <c r="M14"/>
  <c r="L14"/>
  <c r="K14"/>
  <c r="J14"/>
  <c r="I14"/>
  <c r="H14"/>
  <c r="U12"/>
  <c r="V12" s="1"/>
  <c r="T12"/>
  <c r="S12"/>
  <c r="R12"/>
  <c r="Q12"/>
  <c r="P12"/>
  <c r="O12"/>
  <c r="N12"/>
  <c r="M12"/>
  <c r="L12"/>
  <c r="K12"/>
  <c r="J12"/>
  <c r="I12"/>
  <c r="H12"/>
  <c r="U10"/>
  <c r="V10" s="1"/>
  <c r="T10"/>
  <c r="S10"/>
  <c r="R10"/>
  <c r="Q10"/>
  <c r="P10"/>
  <c r="O10"/>
  <c r="N10"/>
  <c r="M10"/>
  <c r="L10"/>
  <c r="K10"/>
  <c r="J10"/>
  <c r="I10"/>
  <c r="H10"/>
  <c r="U9"/>
  <c r="V9" s="1"/>
  <c r="T9"/>
  <c r="S9"/>
  <c r="R9"/>
  <c r="Q9"/>
  <c r="P9"/>
  <c r="O9"/>
  <c r="N9"/>
  <c r="M9"/>
  <c r="L9"/>
  <c r="K9"/>
  <c r="J9"/>
  <c r="I9"/>
  <c r="H9"/>
  <c r="U8"/>
  <c r="T8"/>
  <c r="S8"/>
  <c r="R8"/>
  <c r="Q8"/>
  <c r="P8"/>
  <c r="O8"/>
  <c r="N8"/>
  <c r="M8"/>
  <c r="L8"/>
  <c r="K8"/>
  <c r="J8"/>
  <c r="I8"/>
  <c r="H8"/>
  <c r="V6"/>
  <c r="U6"/>
  <c r="T6"/>
  <c r="S6"/>
  <c r="R6"/>
  <c r="Q6"/>
  <c r="P6"/>
  <c r="O6"/>
  <c r="N6"/>
  <c r="M6"/>
  <c r="L6"/>
  <c r="K6"/>
  <c r="J6"/>
  <c r="I6"/>
  <c r="H6"/>
  <c r="G6"/>
  <c r="G34" s="1"/>
  <c r="E5"/>
  <c r="U27" l="1"/>
  <c r="E30"/>
  <c r="E33" s="1"/>
  <c r="H27"/>
  <c r="H30" s="1"/>
  <c r="H33" s="1"/>
  <c r="K22"/>
  <c r="O22"/>
  <c r="O30" s="1"/>
  <c r="O33" s="1"/>
  <c r="S22"/>
  <c r="S23" s="1"/>
  <c r="S31" s="1"/>
  <c r="S34" s="1"/>
  <c r="I17"/>
  <c r="M17"/>
  <c r="Q17"/>
  <c r="J17"/>
  <c r="N17"/>
  <c r="R17"/>
  <c r="K17"/>
  <c r="O17"/>
  <c r="S17"/>
  <c r="L17"/>
  <c r="L30" s="1"/>
  <c r="L33" s="1"/>
  <c r="T17"/>
  <c r="I22"/>
  <c r="M22"/>
  <c r="M23" s="1"/>
  <c r="M31" s="1"/>
  <c r="M34" s="1"/>
  <c r="Q22"/>
  <c r="Q30" s="1"/>
  <c r="Q33" s="1"/>
  <c r="V22"/>
  <c r="H17"/>
  <c r="P17"/>
  <c r="H22"/>
  <c r="H23" s="1"/>
  <c r="H31" s="1"/>
  <c r="H34" s="1"/>
  <c r="L22"/>
  <c r="L23" s="1"/>
  <c r="L31" s="1"/>
  <c r="L34" s="1"/>
  <c r="P22"/>
  <c r="P23" s="1"/>
  <c r="P31" s="1"/>
  <c r="P34" s="1"/>
  <c r="T22"/>
  <c r="J22"/>
  <c r="J23" s="1"/>
  <c r="N22"/>
  <c r="N23" s="1"/>
  <c r="R22"/>
  <c r="R23" s="1"/>
  <c r="U17"/>
  <c r="J31"/>
  <c r="J34" s="1"/>
  <c r="N31"/>
  <c r="N34" s="1"/>
  <c r="R31"/>
  <c r="R34" s="1"/>
  <c r="K23"/>
  <c r="K31" s="1"/>
  <c r="K34" s="1"/>
  <c r="K30"/>
  <c r="K33" s="1"/>
  <c r="Q23"/>
  <c r="Q31" s="1"/>
  <c r="Q34" s="1"/>
  <c r="V23"/>
  <c r="V31" s="1"/>
  <c r="V34" s="1"/>
  <c r="U22"/>
  <c r="V8"/>
  <c r="V17" s="1"/>
  <c r="O23" l="1"/>
  <c r="O31" s="1"/>
  <c r="O34" s="1"/>
  <c r="T30"/>
  <c r="T33" s="1"/>
  <c r="S30"/>
  <c r="S33" s="1"/>
  <c r="N30"/>
  <c r="N33" s="1"/>
  <c r="I30"/>
  <c r="I33" s="1"/>
  <c r="J30"/>
  <c r="J33" s="1"/>
  <c r="P30"/>
  <c r="P33" s="1"/>
  <c r="T23"/>
  <c r="T31" s="1"/>
  <c r="T34" s="1"/>
  <c r="M30"/>
  <c r="M33" s="1"/>
  <c r="I23"/>
  <c r="I31" s="1"/>
  <c r="I34" s="1"/>
  <c r="R30"/>
  <c r="R33" s="1"/>
  <c r="U23"/>
  <c r="U31" s="1"/>
  <c r="U34" s="1"/>
  <c r="U30"/>
  <c r="U33" s="1"/>
  <c r="V30"/>
  <c r="V33" l="1"/>
  <c r="I25" i="3" l="1"/>
  <c r="J25"/>
  <c r="M25"/>
  <c r="L25"/>
</calcChain>
</file>

<file path=xl/comments1.xml><?xml version="1.0" encoding="utf-8"?>
<comments xmlns="http://schemas.openxmlformats.org/spreadsheetml/2006/main">
  <authors>
    <author>macarthurc</author>
  </authors>
  <commentList>
    <comment ref="C5" authorId="0">
      <text>
        <r>
          <rPr>
            <b/>
            <sz val="9"/>
            <color indexed="81"/>
            <rFont val="Tahoma"/>
            <family val="2"/>
          </rPr>
          <t>macarthurc:</t>
        </r>
        <r>
          <rPr>
            <sz val="9"/>
            <color indexed="81"/>
            <rFont val="Tahoma"/>
            <family val="2"/>
          </rPr>
          <t xml:space="preserve">
Adjusted by 1200 cases to reflect in year 2019 expansion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macarthurc:</t>
        </r>
        <r>
          <rPr>
            <sz val="9"/>
            <color indexed="81"/>
            <rFont val="Tahoma"/>
            <family val="2"/>
          </rPr>
          <t xml:space="preserve">
No activity allocated to NHS D&amp;G and NHS A&amp;A due to travel distances</t>
        </r>
      </text>
    </comment>
  </commentList>
</comments>
</file>

<file path=xl/comments2.xml><?xml version="1.0" encoding="utf-8"?>
<comments xmlns="http://schemas.openxmlformats.org/spreadsheetml/2006/main">
  <authors>
    <author>macarthurc</author>
  </authors>
  <commentList>
    <comment ref="G5" authorId="0">
      <text>
        <r>
          <rPr>
            <b/>
            <sz val="9"/>
            <color indexed="81"/>
            <rFont val="Tahoma"/>
            <family val="2"/>
          </rPr>
          <t>macarthurc:</t>
        </r>
        <r>
          <rPr>
            <sz val="9"/>
            <color indexed="81"/>
            <rFont val="Tahoma"/>
            <family val="2"/>
          </rPr>
          <t xml:space="preserve">
Assumes July opening
this includes a 600 case reduction for in year expansion in 2018/19</t>
        </r>
      </text>
    </comment>
    <comment ref="F8" authorId="0">
      <text>
        <r>
          <rPr>
            <b/>
            <sz val="9"/>
            <color indexed="81"/>
            <rFont val="Tahoma"/>
            <family val="2"/>
          </rPr>
          <t>macarthurc:</t>
        </r>
        <r>
          <rPr>
            <sz val="9"/>
            <color indexed="81"/>
            <rFont val="Tahoma"/>
            <family val="2"/>
          </rPr>
          <t xml:space="preserve">
No adjustment made for 2019 in year exansion of 200 joints as per agreement with Dir of Ops</t>
        </r>
      </text>
    </comment>
    <comment ref="H20" authorId="0">
      <text>
        <r>
          <rPr>
            <b/>
            <sz val="9"/>
            <color indexed="81"/>
            <rFont val="Tahoma"/>
            <family val="2"/>
          </rPr>
          <t>macarthurc:</t>
        </r>
        <r>
          <rPr>
            <sz val="9"/>
            <color indexed="81"/>
            <rFont val="Tahoma"/>
            <family val="2"/>
          </rPr>
          <t xml:space="preserve">
Adjusted by 200 cases for in year expansion in 2019</t>
        </r>
      </text>
    </comment>
    <comment ref="H25" authorId="0">
      <text>
        <r>
          <rPr>
            <b/>
            <sz val="9"/>
            <color indexed="81"/>
            <rFont val="Tahoma"/>
            <family val="2"/>
          </rPr>
          <t>macarthurc:</t>
        </r>
        <r>
          <rPr>
            <sz val="9"/>
            <color indexed="81"/>
            <rFont val="Tahoma"/>
            <family val="2"/>
          </rPr>
          <t xml:space="preserve">
Adjusted by 1200 cases to reflect in year 2019 expansion</t>
        </r>
      </text>
    </comment>
  </commentList>
</comments>
</file>

<file path=xl/sharedStrings.xml><?xml version="1.0" encoding="utf-8"?>
<sst xmlns="http://schemas.openxmlformats.org/spreadsheetml/2006/main" count="214" uniqueCount="56">
  <si>
    <t>GJF Hospital Expansion - Cumulative Actual and Forecast Activity &amp; Theatre / Procedure Room Requirements</t>
  </si>
  <si>
    <t>PROJECTED</t>
  </si>
  <si>
    <t>Phase</t>
  </si>
  <si>
    <t>Specialty</t>
  </si>
  <si>
    <t>ACTUAL Baseline 2018/19 Activity</t>
  </si>
  <si>
    <t>Activity in year expansion 2019</t>
  </si>
  <si>
    <t>TOTAL BASELINE ACTIVITY Before Phase 2 Expansion</t>
  </si>
  <si>
    <t>Procedure</t>
  </si>
  <si>
    <t>Phase 1</t>
  </si>
  <si>
    <t>Ophthalmology</t>
  </si>
  <si>
    <t>Cataracts</t>
  </si>
  <si>
    <t>Theatre Requirements</t>
  </si>
  <si>
    <t>Phase 2</t>
  </si>
  <si>
    <t>Orthopaedics</t>
  </si>
  <si>
    <t>no adjustment made as per discussion with Dir of Ops</t>
  </si>
  <si>
    <t>Primary THR</t>
  </si>
  <si>
    <t>Primary TKR</t>
  </si>
  <si>
    <t>Revision Athroplasty</t>
  </si>
  <si>
    <t>Foot &amp; Ankle</t>
  </si>
  <si>
    <t>Hand &amp; Wrist</t>
  </si>
  <si>
    <t>Ortho other minors</t>
  </si>
  <si>
    <t>n/a</t>
  </si>
  <si>
    <t>Total Number of Procedures</t>
  </si>
  <si>
    <t>Total Theatre Requirements</t>
  </si>
  <si>
    <t>General Surgery</t>
  </si>
  <si>
    <t>Hernia</t>
  </si>
  <si>
    <t>Lap Chole</t>
  </si>
  <si>
    <t>Endoscopy</t>
  </si>
  <si>
    <t>Upper GI Diag Scope</t>
  </si>
  <si>
    <t>Lower  GI Diag Scope</t>
  </si>
  <si>
    <t>Procedure Room Requirements</t>
  </si>
  <si>
    <t>All Specialties</t>
  </si>
  <si>
    <t>All Procedures</t>
  </si>
  <si>
    <t>Theatre &amp; Procedure Room Requirements</t>
  </si>
  <si>
    <t>Phase 1 &amp; 2</t>
  </si>
  <si>
    <t>Total</t>
  </si>
  <si>
    <t>Ayrshire &amp; Arran</t>
  </si>
  <si>
    <t>Dumfries &amp; Galloway</t>
  </si>
  <si>
    <t>Forth Valley</t>
  </si>
  <si>
    <t>Greater Glasgow &amp; Clyde</t>
  </si>
  <si>
    <t>Lanarkshire</t>
  </si>
  <si>
    <t>Cumulative</t>
  </si>
  <si>
    <t>Non Cumulative</t>
  </si>
  <si>
    <t>Baseline to 2020</t>
  </si>
  <si>
    <t>WoS</t>
  </si>
  <si>
    <t>OBC Activity WoS</t>
  </si>
  <si>
    <t>Phase 2 Hospital Expansion Diagnostic Endoscopy Split by Health Board</t>
  </si>
  <si>
    <t>Hip and Knee Revision</t>
  </si>
  <si>
    <t>Laproscopic Cholecystectomy</t>
  </si>
  <si>
    <t xml:space="preserve">Primary Hip Replacements </t>
  </si>
  <si>
    <t>Primary Hip Replacements</t>
  </si>
  <si>
    <t xml:space="preserve">Primary Knee Replacements </t>
  </si>
  <si>
    <t>Phase 2 Hospital Expansion Orthopaedic Procedures Split by Health Board</t>
  </si>
  <si>
    <t>Phase 2 Hospital Expansion General Surgery Procedures Split by Health Board</t>
  </si>
  <si>
    <t>Hand and Wrist Procedures</t>
  </si>
  <si>
    <t>Foot and Ankle Procedures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</si>
</sst>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0.0%"/>
  </numFmts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sz val="7"/>
      <color theme="1"/>
      <name val="Arial"/>
      <family val="2"/>
    </font>
    <font>
      <sz val="7"/>
      <color rgb="FF0000FF"/>
      <name val="Arial"/>
      <family val="2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000000"/>
      <name val="Arial"/>
      <family val="2"/>
    </font>
    <font>
      <b/>
      <u/>
      <sz val="16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66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3" fillId="0" borderId="0" xfId="0" applyFont="1"/>
    <xf numFmtId="0" fontId="4" fillId="0" borderId="0" xfId="0" applyFont="1" applyAlignment="1">
      <alignment wrapText="1"/>
    </xf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5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5" fillId="2" borderId="5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wrapText="1"/>
    </xf>
    <xf numFmtId="3" fontId="5" fillId="4" borderId="5" xfId="0" applyNumberFormat="1" applyFont="1" applyFill="1" applyBorder="1" applyAlignment="1">
      <alignment horizontal="right"/>
    </xf>
    <xf numFmtId="3" fontId="7" fillId="4" borderId="5" xfId="0" applyNumberFormat="1" applyFont="1" applyFill="1" applyBorder="1" applyAlignment="1">
      <alignment horizontal="right"/>
    </xf>
    <xf numFmtId="0" fontId="3" fillId="4" borderId="5" xfId="0" applyFont="1" applyFill="1" applyBorder="1"/>
    <xf numFmtId="3" fontId="3" fillId="4" borderId="5" xfId="0" applyNumberFormat="1" applyFont="1" applyFill="1" applyBorder="1" applyAlignment="1">
      <alignment horizontal="right"/>
    </xf>
    <xf numFmtId="0" fontId="5" fillId="4" borderId="5" xfId="0" applyFont="1" applyFill="1" applyBorder="1"/>
    <xf numFmtId="165" fontId="5" fillId="4" borderId="5" xfId="0" applyNumberFormat="1" applyFont="1" applyFill="1" applyBorder="1" applyAlignment="1">
      <alignment horizontal="right"/>
    </xf>
    <xf numFmtId="0" fontId="5" fillId="5" borderId="5" xfId="0" applyFont="1" applyFill="1" applyBorder="1" applyAlignment="1">
      <alignment horizontal="center" wrapText="1"/>
    </xf>
    <xf numFmtId="0" fontId="3" fillId="5" borderId="5" xfId="0" applyFont="1" applyFill="1" applyBorder="1" applyAlignment="1">
      <alignment horizontal="center" wrapText="1"/>
    </xf>
    <xf numFmtId="3" fontId="5" fillId="5" borderId="5" xfId="0" applyNumberFormat="1" applyFont="1" applyFill="1" applyBorder="1" applyAlignment="1">
      <alignment horizontal="right"/>
    </xf>
    <xf numFmtId="3" fontId="7" fillId="5" borderId="5" xfId="0" applyNumberFormat="1" applyFont="1" applyFill="1" applyBorder="1" applyAlignment="1">
      <alignment horizontal="right"/>
    </xf>
    <xf numFmtId="0" fontId="5" fillId="5" borderId="5" xfId="0" applyFont="1" applyFill="1" applyBorder="1"/>
    <xf numFmtId="0" fontId="3" fillId="6" borderId="5" xfId="0" applyFont="1" applyFill="1" applyBorder="1" applyAlignment="1">
      <alignment wrapText="1"/>
    </xf>
    <xf numFmtId="1" fontId="3" fillId="6" borderId="1" xfId="0" applyNumberFormat="1" applyFont="1" applyFill="1" applyBorder="1" applyAlignment="1">
      <alignment horizontal="right"/>
    </xf>
    <xf numFmtId="1" fontId="3" fillId="6" borderId="6" xfId="0" applyNumberFormat="1" applyFont="1" applyFill="1" applyBorder="1" applyAlignment="1">
      <alignment horizontal="right"/>
    </xf>
    <xf numFmtId="1" fontId="3" fillId="6" borderId="4" xfId="0" applyNumberFormat="1" applyFont="1" applyFill="1" applyBorder="1" applyAlignment="1">
      <alignment horizontal="right"/>
    </xf>
    <xf numFmtId="1" fontId="3" fillId="6" borderId="5" xfId="0" applyNumberFormat="1" applyFont="1" applyFill="1" applyBorder="1" applyAlignment="1">
      <alignment horizontal="right"/>
    </xf>
    <xf numFmtId="164" fontId="5" fillId="6" borderId="5" xfId="0" applyNumberFormat="1" applyFont="1" applyFill="1" applyBorder="1" applyAlignment="1">
      <alignment wrapText="1"/>
    </xf>
    <xf numFmtId="164" fontId="5" fillId="6" borderId="5" xfId="0" applyNumberFormat="1" applyFont="1" applyFill="1" applyBorder="1" applyAlignment="1">
      <alignment horizontal="right"/>
    </xf>
    <xf numFmtId="164" fontId="5" fillId="0" borderId="0" xfId="0" applyNumberFormat="1" applyFont="1"/>
    <xf numFmtId="0" fontId="3" fillId="6" borderId="5" xfId="0" applyFont="1" applyFill="1" applyBorder="1" applyAlignment="1">
      <alignment horizontal="right"/>
    </xf>
    <xf numFmtId="0" fontId="6" fillId="6" borderId="5" xfId="0" applyFont="1" applyFill="1" applyBorder="1" applyAlignment="1">
      <alignment horizontal="right"/>
    </xf>
    <xf numFmtId="3" fontId="5" fillId="6" borderId="5" xfId="0" applyNumberFormat="1" applyFont="1" applyFill="1" applyBorder="1" applyAlignment="1">
      <alignment horizontal="right"/>
    </xf>
    <xf numFmtId="3" fontId="7" fillId="6" borderId="5" xfId="0" applyNumberFormat="1" applyFont="1" applyFill="1" applyBorder="1" applyAlignment="1">
      <alignment horizontal="right"/>
    </xf>
    <xf numFmtId="0" fontId="5" fillId="6" borderId="5" xfId="0" applyFont="1" applyFill="1" applyBorder="1" applyAlignment="1">
      <alignment wrapText="1"/>
    </xf>
    <xf numFmtId="0" fontId="5" fillId="6" borderId="5" xfId="0" applyFont="1" applyFill="1" applyBorder="1" applyAlignment="1">
      <alignment horizontal="right"/>
    </xf>
    <xf numFmtId="0" fontId="7" fillId="6" borderId="5" xfId="0" applyFont="1" applyFill="1" applyBorder="1" applyAlignment="1">
      <alignment horizontal="right"/>
    </xf>
    <xf numFmtId="0" fontId="3" fillId="5" borderId="5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right"/>
    </xf>
    <xf numFmtId="0" fontId="7" fillId="5" borderId="5" xfId="0" applyFont="1" applyFill="1" applyBorder="1" applyAlignment="1">
      <alignment horizontal="right"/>
    </xf>
    <xf numFmtId="0" fontId="5" fillId="5" borderId="5" xfId="0" applyFont="1" applyFill="1" applyBorder="1" applyAlignment="1">
      <alignment wrapText="1"/>
    </xf>
    <xf numFmtId="164" fontId="5" fillId="5" borderId="5" xfId="0" applyNumberFormat="1" applyFont="1" applyFill="1" applyBorder="1" applyAlignment="1">
      <alignment horizontal="right"/>
    </xf>
    <xf numFmtId="0" fontId="3" fillId="7" borderId="5" xfId="0" applyFont="1" applyFill="1" applyBorder="1" applyAlignment="1">
      <alignment horizontal="right"/>
    </xf>
    <xf numFmtId="0" fontId="6" fillId="7" borderId="5" xfId="0" applyFont="1" applyFill="1" applyBorder="1" applyAlignment="1">
      <alignment horizontal="right"/>
    </xf>
    <xf numFmtId="0" fontId="3" fillId="7" borderId="5" xfId="0" applyFont="1" applyFill="1" applyBorder="1" applyAlignment="1">
      <alignment wrapText="1"/>
    </xf>
    <xf numFmtId="1" fontId="3" fillId="7" borderId="5" xfId="0" applyNumberFormat="1" applyFont="1" applyFill="1" applyBorder="1" applyAlignment="1">
      <alignment horizontal="right"/>
    </xf>
    <xf numFmtId="0" fontId="5" fillId="7" borderId="5" xfId="0" applyFont="1" applyFill="1" applyBorder="1" applyAlignment="1">
      <alignment horizontal="right"/>
    </xf>
    <xf numFmtId="0" fontId="7" fillId="7" borderId="5" xfId="0" applyFont="1" applyFill="1" applyBorder="1" applyAlignment="1">
      <alignment horizontal="right"/>
    </xf>
    <xf numFmtId="0" fontId="5" fillId="7" borderId="5" xfId="0" applyFont="1" applyFill="1" applyBorder="1" applyAlignment="1">
      <alignment wrapText="1"/>
    </xf>
    <xf numFmtId="3" fontId="5" fillId="7" borderId="5" xfId="0" applyNumberFormat="1" applyFont="1" applyFill="1" applyBorder="1" applyAlignment="1">
      <alignment horizontal="right"/>
    </xf>
    <xf numFmtId="164" fontId="5" fillId="7" borderId="5" xfId="0" applyNumberFormat="1" applyFont="1" applyFill="1" applyBorder="1" applyAlignment="1">
      <alignment horizontal="right"/>
    </xf>
    <xf numFmtId="0" fontId="3" fillId="5" borderId="5" xfId="0" applyFont="1" applyFill="1" applyBorder="1" applyAlignment="1">
      <alignment horizontal="right"/>
    </xf>
    <xf numFmtId="0" fontId="6" fillId="5" borderId="5" xfId="0" applyFont="1" applyFill="1" applyBorder="1" applyAlignment="1">
      <alignment horizontal="right"/>
    </xf>
    <xf numFmtId="0" fontId="3" fillId="8" borderId="5" xfId="0" applyFont="1" applyFill="1" applyBorder="1" applyAlignment="1">
      <alignment horizontal="right"/>
    </xf>
    <xf numFmtId="0" fontId="6" fillId="8" borderId="5" xfId="0" applyFont="1" applyFill="1" applyBorder="1" applyAlignment="1">
      <alignment horizontal="right"/>
    </xf>
    <xf numFmtId="0" fontId="3" fillId="8" borderId="5" xfId="0" applyFont="1" applyFill="1" applyBorder="1" applyAlignment="1">
      <alignment wrapText="1"/>
    </xf>
    <xf numFmtId="3" fontId="3" fillId="8" borderId="5" xfId="0" applyNumberFormat="1" applyFont="1" applyFill="1" applyBorder="1" applyAlignment="1">
      <alignment horizontal="right"/>
    </xf>
    <xf numFmtId="3" fontId="10" fillId="8" borderId="5" xfId="0" applyNumberFormat="1" applyFont="1" applyFill="1" applyBorder="1" applyAlignment="1">
      <alignment horizontal="right"/>
    </xf>
    <xf numFmtId="3" fontId="5" fillId="8" borderId="5" xfId="0" applyNumberFormat="1" applyFont="1" applyFill="1" applyBorder="1" applyAlignment="1">
      <alignment horizontal="right"/>
    </xf>
    <xf numFmtId="3" fontId="7" fillId="8" borderId="5" xfId="0" applyNumberFormat="1" applyFont="1" applyFill="1" applyBorder="1" applyAlignment="1">
      <alignment horizontal="right"/>
    </xf>
    <xf numFmtId="0" fontId="5" fillId="8" borderId="5" xfId="0" applyFont="1" applyFill="1" applyBorder="1"/>
    <xf numFmtId="3" fontId="5" fillId="8" borderId="1" xfId="0" applyNumberFormat="1" applyFont="1" applyFill="1" applyBorder="1" applyAlignment="1">
      <alignment horizontal="right"/>
    </xf>
    <xf numFmtId="3" fontId="5" fillId="8" borderId="4" xfId="0" applyNumberFormat="1" applyFont="1" applyFill="1" applyBorder="1" applyAlignment="1">
      <alignment horizontal="right"/>
    </xf>
    <xf numFmtId="0" fontId="5" fillId="8" borderId="5" xfId="0" applyFont="1" applyFill="1" applyBorder="1" applyAlignment="1">
      <alignment horizontal="right"/>
    </xf>
    <xf numFmtId="0" fontId="7" fillId="8" borderId="5" xfId="0" applyFont="1" applyFill="1" applyBorder="1" applyAlignment="1">
      <alignment horizontal="right"/>
    </xf>
    <xf numFmtId="164" fontId="5" fillId="8" borderId="5" xfId="0" applyNumberFormat="1" applyFont="1" applyFill="1" applyBorder="1" applyAlignment="1">
      <alignment horizontal="right"/>
    </xf>
    <xf numFmtId="3" fontId="5" fillId="2" borderId="5" xfId="0" applyNumberFormat="1" applyFont="1" applyFill="1" applyBorder="1" applyAlignment="1">
      <alignment horizontal="right"/>
    </xf>
    <xf numFmtId="3" fontId="7" fillId="2" borderId="5" xfId="0" applyNumberFormat="1" applyFont="1" applyFill="1" applyBorder="1" applyAlignment="1">
      <alignment horizontal="right"/>
    </xf>
    <xf numFmtId="0" fontId="5" fillId="0" borderId="5" xfId="0" applyFont="1" applyBorder="1"/>
    <xf numFmtId="0" fontId="3" fillId="2" borderId="0" xfId="0" applyFont="1" applyFill="1"/>
    <xf numFmtId="0" fontId="5" fillId="2" borderId="5" xfId="0" applyFont="1" applyFill="1" applyBorder="1" applyAlignment="1">
      <alignment horizontal="right"/>
    </xf>
    <xf numFmtId="0" fontId="7" fillId="2" borderId="5" xfId="0" applyFont="1" applyFill="1" applyBorder="1" applyAlignment="1">
      <alignment horizontal="right"/>
    </xf>
    <xf numFmtId="0" fontId="5" fillId="0" borderId="5" xfId="0" applyFont="1" applyBorder="1" applyAlignment="1">
      <alignment wrapText="1"/>
    </xf>
    <xf numFmtId="164" fontId="5" fillId="2" borderId="5" xfId="0" applyNumberFormat="1" applyFont="1" applyFill="1" applyBorder="1" applyAlignment="1">
      <alignment horizontal="right"/>
    </xf>
    <xf numFmtId="3" fontId="5" fillId="9" borderId="5" xfId="0" applyNumberFormat="1" applyFont="1" applyFill="1" applyBorder="1" applyAlignment="1">
      <alignment horizontal="right"/>
    </xf>
    <xf numFmtId="3" fontId="7" fillId="9" borderId="5" xfId="0" applyNumberFormat="1" applyFont="1" applyFill="1" applyBorder="1" applyAlignment="1">
      <alignment horizontal="right"/>
    </xf>
    <xf numFmtId="0" fontId="5" fillId="9" borderId="5" xfId="0" applyFont="1" applyFill="1" applyBorder="1"/>
    <xf numFmtId="0" fontId="5" fillId="9" borderId="5" xfId="0" applyFont="1" applyFill="1" applyBorder="1" applyAlignment="1">
      <alignment horizontal="right"/>
    </xf>
    <xf numFmtId="0" fontId="7" fillId="9" borderId="5" xfId="0" applyFont="1" applyFill="1" applyBorder="1" applyAlignment="1">
      <alignment horizontal="right"/>
    </xf>
    <xf numFmtId="0" fontId="5" fillId="9" borderId="5" xfId="0" applyFont="1" applyFill="1" applyBorder="1" applyAlignment="1">
      <alignment wrapText="1"/>
    </xf>
    <xf numFmtId="164" fontId="5" fillId="9" borderId="5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0" fillId="2" borderId="0" xfId="0" applyFill="1"/>
    <xf numFmtId="0" fontId="0" fillId="2" borderId="5" xfId="0" applyFill="1" applyBorder="1"/>
    <xf numFmtId="0" fontId="0" fillId="0" borderId="5" xfId="0" applyBorder="1"/>
    <xf numFmtId="0" fontId="1" fillId="0" borderId="5" xfId="0" applyFont="1" applyBorder="1"/>
    <xf numFmtId="0" fontId="1" fillId="0" borderId="0" xfId="0" applyFont="1"/>
    <xf numFmtId="166" fontId="0" fillId="0" borderId="0" xfId="0" applyNumberFormat="1"/>
    <xf numFmtId="1" fontId="0" fillId="0" borderId="5" xfId="0" applyNumberFormat="1" applyBorder="1"/>
    <xf numFmtId="0" fontId="5" fillId="8" borderId="5" xfId="0" applyFont="1" applyFill="1" applyBorder="1" applyAlignment="1">
      <alignment wrapText="1"/>
    </xf>
    <xf numFmtId="1" fontId="1" fillId="0" borderId="5" xfId="0" applyNumberFormat="1" applyFont="1" applyBorder="1"/>
    <xf numFmtId="3" fontId="13" fillId="8" borderId="5" xfId="0" applyNumberFormat="1" applyFont="1" applyFill="1" applyBorder="1" applyAlignment="1">
      <alignment horizontal="right"/>
    </xf>
    <xf numFmtId="0" fontId="1" fillId="11" borderId="5" xfId="0" applyFont="1" applyFill="1" applyBorder="1" applyAlignment="1">
      <alignment wrapText="1"/>
    </xf>
    <xf numFmtId="0" fontId="1" fillId="11" borderId="5" xfId="0" applyFont="1" applyFill="1" applyBorder="1" applyAlignment="1">
      <alignment horizontal="right" wrapText="1"/>
    </xf>
    <xf numFmtId="0" fontId="1" fillId="11" borderId="5" xfId="0" applyFont="1" applyFill="1" applyBorder="1"/>
    <xf numFmtId="3" fontId="0" fillId="0" borderId="5" xfId="0" applyNumberFormat="1" applyBorder="1"/>
    <xf numFmtId="3" fontId="0" fillId="0" borderId="0" xfId="0" applyNumberFormat="1"/>
    <xf numFmtId="164" fontId="0" fillId="0" borderId="0" xfId="0" applyNumberFormat="1"/>
    <xf numFmtId="3" fontId="0" fillId="2" borderId="5" xfId="0" applyNumberFormat="1" applyFill="1" applyBorder="1"/>
    <xf numFmtId="3" fontId="1" fillId="0" borderId="5" xfId="0" applyNumberFormat="1" applyFont="1" applyBorder="1"/>
    <xf numFmtId="3" fontId="1" fillId="0" borderId="0" xfId="0" applyNumberFormat="1" applyFont="1"/>
    <xf numFmtId="164" fontId="1" fillId="0" borderId="0" xfId="0" applyNumberFormat="1" applyFont="1"/>
    <xf numFmtId="0" fontId="3" fillId="10" borderId="5" xfId="0" applyFont="1" applyFill="1" applyBorder="1" applyAlignment="1">
      <alignment horizontal="left"/>
    </xf>
    <xf numFmtId="1" fontId="3" fillId="0" borderId="5" xfId="0" applyNumberFormat="1" applyFont="1" applyBorder="1"/>
    <xf numFmtId="166" fontId="3" fillId="0" borderId="0" xfId="0" applyNumberFormat="1" applyFont="1"/>
    <xf numFmtId="1" fontId="5" fillId="0" borderId="5" xfId="0" applyNumberFormat="1" applyFont="1" applyBorder="1"/>
    <xf numFmtId="0" fontId="5" fillId="0" borderId="0" xfId="0" applyFont="1" applyBorder="1"/>
    <xf numFmtId="0" fontId="5" fillId="10" borderId="5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0" fontId="3" fillId="0" borderId="0" xfId="0" applyFont="1" applyBorder="1"/>
    <xf numFmtId="0" fontId="3" fillId="2" borderId="0" xfId="0" applyFont="1" applyFill="1" applyBorder="1"/>
    <xf numFmtId="0" fontId="3" fillId="2" borderId="0" xfId="0" applyFont="1" applyFill="1" applyBorder="1" applyAlignment="1">
      <alignment wrapText="1"/>
    </xf>
    <xf numFmtId="0" fontId="5" fillId="2" borderId="0" xfId="0" applyFont="1" applyFill="1" applyBorder="1"/>
    <xf numFmtId="0" fontId="5" fillId="2" borderId="0" xfId="0" applyFont="1" applyFill="1" applyBorder="1" applyAlignment="1">
      <alignment wrapText="1"/>
    </xf>
    <xf numFmtId="0" fontId="5" fillId="2" borderId="0" xfId="0" applyFont="1" applyFill="1" applyBorder="1" applyAlignment="1">
      <alignment horizontal="center" vertical="center" wrapText="1"/>
    </xf>
    <xf numFmtId="0" fontId="5" fillId="12" borderId="5" xfId="0" applyFont="1" applyFill="1" applyBorder="1" applyAlignment="1">
      <alignment horizontal="center"/>
    </xf>
    <xf numFmtId="0" fontId="3" fillId="12" borderId="5" xfId="0" applyFont="1" applyFill="1" applyBorder="1"/>
    <xf numFmtId="3" fontId="3" fillId="12" borderId="5" xfId="0" applyNumberFormat="1" applyFont="1" applyFill="1" applyBorder="1" applyAlignment="1">
      <alignment horizontal="right"/>
    </xf>
    <xf numFmtId="3" fontId="10" fillId="12" borderId="5" xfId="0" applyNumberFormat="1" applyFont="1" applyFill="1" applyBorder="1" applyAlignment="1">
      <alignment horizontal="right"/>
    </xf>
    <xf numFmtId="3" fontId="5" fillId="12" borderId="5" xfId="0" applyNumberFormat="1" applyFont="1" applyFill="1" applyBorder="1" applyAlignment="1">
      <alignment horizontal="right"/>
    </xf>
    <xf numFmtId="0" fontId="14" fillId="0" borderId="0" xfId="0" applyFont="1" applyBorder="1"/>
    <xf numFmtId="0" fontId="5" fillId="0" borderId="0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3" fontId="5" fillId="8" borderId="5" xfId="0" applyNumberFormat="1" applyFont="1" applyFill="1" applyBorder="1" applyAlignment="1">
      <alignment horizontal="left"/>
    </xf>
    <xf numFmtId="165" fontId="1" fillId="0" borderId="0" xfId="0" applyNumberFormat="1" applyFont="1"/>
    <xf numFmtId="1" fontId="0" fillId="0" borderId="0" xfId="0" applyNumberFormat="1"/>
    <xf numFmtId="0" fontId="1" fillId="0" borderId="5" xfId="0" applyFont="1" applyFill="1" applyBorder="1"/>
    <xf numFmtId="0" fontId="0" fillId="0" borderId="5" xfId="0" applyFill="1" applyBorder="1"/>
    <xf numFmtId="1" fontId="0" fillId="0" borderId="5" xfId="0" applyNumberFormat="1" applyFill="1" applyBorder="1"/>
    <xf numFmtId="0" fontId="1" fillId="13" borderId="5" xfId="0" applyFont="1" applyFill="1" applyBorder="1"/>
    <xf numFmtId="0" fontId="0" fillId="13" borderId="5" xfId="0" applyFill="1" applyBorder="1"/>
    <xf numFmtId="1" fontId="5" fillId="0" borderId="5" xfId="0" applyNumberFormat="1" applyFont="1" applyFill="1" applyBorder="1" applyAlignment="1">
      <alignment horizontal="right"/>
    </xf>
    <xf numFmtId="1" fontId="1" fillId="0" borderId="5" xfId="0" applyNumberFormat="1" applyFont="1" applyFill="1" applyBorder="1"/>
    <xf numFmtId="0" fontId="1" fillId="14" borderId="5" xfId="0" applyFont="1" applyFill="1" applyBorder="1"/>
    <xf numFmtId="0" fontId="1" fillId="15" borderId="5" xfId="0" applyFont="1" applyFill="1" applyBorder="1"/>
    <xf numFmtId="0" fontId="1" fillId="0" borderId="0" xfId="0" applyFont="1" applyAlignment="1">
      <alignment horizontal="center" vertical="center" wrapText="1"/>
    </xf>
    <xf numFmtId="0" fontId="5" fillId="12" borderId="5" xfId="0" applyFont="1" applyFill="1" applyBorder="1"/>
    <xf numFmtId="1" fontId="3" fillId="2" borderId="5" xfId="0" applyNumberFormat="1" applyFont="1" applyFill="1" applyBorder="1"/>
    <xf numFmtId="166" fontId="3" fillId="2" borderId="0" xfId="0" applyNumberFormat="1" applyFont="1" applyFill="1"/>
    <xf numFmtId="0" fontId="1" fillId="14" borderId="5" xfId="0" applyFont="1" applyFill="1" applyBorder="1" applyAlignment="1">
      <alignment wrapText="1"/>
    </xf>
    <xf numFmtId="0" fontId="0" fillId="0" borderId="5" xfId="0" applyBorder="1" applyAlignment="1">
      <alignment wrapText="1"/>
    </xf>
    <xf numFmtId="0" fontId="1" fillId="15" borderId="5" xfId="0" applyFont="1" applyFill="1" applyBorder="1" applyAlignment="1">
      <alignment wrapText="1"/>
    </xf>
    <xf numFmtId="0" fontId="0" fillId="0" borderId="0" xfId="0" applyAlignment="1">
      <alignment wrapText="1"/>
    </xf>
    <xf numFmtId="0" fontId="1" fillId="0" borderId="5" xfId="0" applyFont="1" applyBorder="1" applyAlignment="1">
      <alignment wrapText="1"/>
    </xf>
    <xf numFmtId="0" fontId="0" fillId="0" borderId="8" xfId="0" applyFill="1" applyBorder="1"/>
    <xf numFmtId="1" fontId="0" fillId="0" borderId="5" xfId="0" applyNumberFormat="1" applyFont="1" applyFill="1" applyBorder="1"/>
    <xf numFmtId="0" fontId="3" fillId="3" borderId="5" xfId="0" applyFont="1" applyFill="1" applyBorder="1" applyAlignment="1">
      <alignment horizontal="left"/>
    </xf>
    <xf numFmtId="1" fontId="3" fillId="3" borderId="5" xfId="0" applyNumberFormat="1" applyFont="1" applyFill="1" applyBorder="1"/>
    <xf numFmtId="1" fontId="5" fillId="0" borderId="0" xfId="0" applyNumberFormat="1" applyFont="1"/>
    <xf numFmtId="0" fontId="0" fillId="3" borderId="5" xfId="0" applyFill="1" applyBorder="1"/>
    <xf numFmtId="0" fontId="1" fillId="3" borderId="5" xfId="0" applyFont="1" applyFill="1" applyBorder="1"/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15" borderId="7" xfId="0" applyFont="1" applyFill="1" applyBorder="1" applyAlignment="1">
      <alignment horizontal="center" vertical="center" wrapText="1"/>
    </xf>
    <xf numFmtId="0" fontId="1" fillId="15" borderId="8" xfId="0" applyFont="1" applyFill="1" applyBorder="1" applyAlignment="1">
      <alignment horizontal="center" vertical="center" wrapText="1"/>
    </xf>
    <xf numFmtId="0" fontId="1" fillId="15" borderId="9" xfId="0" applyFont="1" applyFill="1" applyBorder="1" applyAlignment="1">
      <alignment horizontal="center" vertical="center" wrapText="1"/>
    </xf>
    <xf numFmtId="0" fontId="1" fillId="14" borderId="7" xfId="0" applyFont="1" applyFill="1" applyBorder="1" applyAlignment="1">
      <alignment horizontal="center" vertical="center" wrapText="1"/>
    </xf>
    <xf numFmtId="0" fontId="1" fillId="14" borderId="8" xfId="0" applyFont="1" applyFill="1" applyBorder="1" applyAlignment="1">
      <alignment horizontal="center" vertical="center" wrapText="1"/>
    </xf>
    <xf numFmtId="0" fontId="1" fillId="14" borderId="9" xfId="0" applyFont="1" applyFill="1" applyBorder="1" applyAlignment="1">
      <alignment horizontal="center" vertical="center" wrapText="1"/>
    </xf>
    <xf numFmtId="0" fontId="5" fillId="12" borderId="7" xfId="0" applyFont="1" applyFill="1" applyBorder="1" applyAlignment="1">
      <alignment horizontal="center" vertical="center" wrapText="1"/>
    </xf>
    <xf numFmtId="0" fontId="5" fillId="12" borderId="8" xfId="0" applyFont="1" applyFill="1" applyBorder="1" applyAlignment="1">
      <alignment horizontal="center" vertical="center" wrapText="1"/>
    </xf>
    <xf numFmtId="0" fontId="5" fillId="12" borderId="9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0" fontId="3" fillId="6" borderId="5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right"/>
    </xf>
    <xf numFmtId="164" fontId="5" fillId="4" borderId="5" xfId="0" applyNumberFormat="1" applyFont="1" applyFill="1" applyBorder="1" applyAlignment="1">
      <alignment horizontal="right"/>
    </xf>
    <xf numFmtId="3" fontId="3" fillId="6" borderId="5" xfId="0" applyNumberFormat="1" applyFont="1" applyFill="1" applyBorder="1" applyAlignment="1">
      <alignment horizontal="right"/>
    </xf>
    <xf numFmtId="3" fontId="8" fillId="6" borderId="5" xfId="0" applyNumberFormat="1" applyFont="1" applyFill="1" applyBorder="1" applyAlignment="1">
      <alignment horizontal="center" wrapText="1"/>
    </xf>
    <xf numFmtId="3" fontId="9" fillId="6" borderId="5" xfId="0" applyNumberFormat="1" applyFont="1" applyFill="1" applyBorder="1" applyAlignment="1">
      <alignment horizontal="center" wrapText="1"/>
    </xf>
    <xf numFmtId="3" fontId="3" fillId="6" borderId="5" xfId="0" applyNumberFormat="1" applyFont="1" applyFill="1" applyBorder="1" applyAlignment="1">
      <alignment horizontal="right"/>
    </xf>
    <xf numFmtId="2" fontId="3" fillId="6" borderId="5" xfId="0" applyNumberFormat="1" applyFont="1" applyFill="1" applyBorder="1" applyAlignment="1">
      <alignment horizontal="right"/>
    </xf>
    <xf numFmtId="3" fontId="6" fillId="6" borderId="5" xfId="0" applyNumberFormat="1" applyFont="1" applyFill="1" applyBorder="1" applyAlignment="1">
      <alignment horizontal="right"/>
    </xf>
    <xf numFmtId="164" fontId="7" fillId="6" borderId="5" xfId="0" applyNumberFormat="1" applyFont="1" applyFill="1" applyBorder="1" applyAlignment="1">
      <alignment horizontal="right"/>
    </xf>
    <xf numFmtId="0" fontId="3" fillId="7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wrapText="1"/>
    </xf>
    <xf numFmtId="0" fontId="3" fillId="5" borderId="5" xfId="0" applyFont="1" applyFill="1" applyBorder="1"/>
    <xf numFmtId="0" fontId="5" fillId="9" borderId="5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6FFFF"/>
      <color rgb="FFFF66FF"/>
      <color rgb="FF0099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spitalExpansion\Private\Demand%20and%20Capacity%20Work\Demand%20Modelling%20Work%20April%202018%20onwards\Ortho\Ortho%20Phasing%20MASTER%20%20March%2020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ummary Ph1 &amp; 2"/>
      <sheetName val="Ortho Summary"/>
      <sheetName val="SUMMARY REQTs"/>
      <sheetName val="DOSA DayCase and 23hr"/>
      <sheetName val="HIPS 10%"/>
      <sheetName val="KNEES 10%"/>
      <sheetName val="HIPS"/>
      <sheetName val="KNEES"/>
      <sheetName val="Sheet3"/>
      <sheetName val="Sheet4"/>
    </sheetNames>
    <sheetDataSet>
      <sheetData sheetId="0" refreshError="1"/>
      <sheetData sheetId="1" refreshError="1"/>
      <sheetData sheetId="2" refreshError="1">
        <row r="5">
          <cell r="F5">
            <v>375.96780000000035</v>
          </cell>
          <cell r="G5">
            <v>442.48769999999973</v>
          </cell>
          <cell r="H5">
            <v>506.90879999999981</v>
          </cell>
          <cell r="I5">
            <v>569.91525000000036</v>
          </cell>
          <cell r="J5">
            <v>634.44150000000002</v>
          </cell>
          <cell r="K5">
            <v>696.09339999999975</v>
          </cell>
          <cell r="L5">
            <v>747.56300000000033</v>
          </cell>
          <cell r="M5">
            <v>804.92054999999982</v>
          </cell>
          <cell r="N5">
            <v>865.28090000000043</v>
          </cell>
          <cell r="O5">
            <v>924.24149999999975</v>
          </cell>
          <cell r="P5">
            <v>987.04800000000023</v>
          </cell>
          <cell r="Q5">
            <v>1047.0218500000001</v>
          </cell>
          <cell r="R5">
            <v>1097.9490999999994</v>
          </cell>
          <cell r="V5">
            <v>1187</v>
          </cell>
        </row>
        <row r="6">
          <cell r="F6">
            <v>0.49731190476190523</v>
          </cell>
        </row>
        <row r="11">
          <cell r="F11">
            <v>428.45110000000011</v>
          </cell>
          <cell r="G11">
            <v>505.76410000000055</v>
          </cell>
          <cell r="H11">
            <v>580.0055999999995</v>
          </cell>
          <cell r="I11">
            <v>652.5641499999997</v>
          </cell>
          <cell r="J11">
            <v>727.09800000000098</v>
          </cell>
          <cell r="K11">
            <v>797.01089999999886</v>
          </cell>
          <cell r="L11">
            <v>851.70380000000068</v>
          </cell>
          <cell r="M11">
            <v>914.05825000000004</v>
          </cell>
          <cell r="N11">
            <v>980.19979999999919</v>
          </cell>
          <cell r="O11">
            <v>1044.3135000000002</v>
          </cell>
          <cell r="P11">
            <v>1112.5000000000005</v>
          </cell>
          <cell r="Q11">
            <v>1176.5573000000002</v>
          </cell>
          <cell r="R11">
            <v>1228.3564000000006</v>
          </cell>
          <cell r="V11">
            <v>1318</v>
          </cell>
        </row>
        <row r="12">
          <cell r="F12">
            <v>0.56673425925925935</v>
          </cell>
        </row>
        <row r="22">
          <cell r="F22">
            <v>217</v>
          </cell>
          <cell r="G22">
            <v>234</v>
          </cell>
          <cell r="H22">
            <v>251</v>
          </cell>
          <cell r="I22">
            <v>268</v>
          </cell>
          <cell r="J22">
            <v>287</v>
          </cell>
          <cell r="K22">
            <v>290</v>
          </cell>
          <cell r="L22">
            <v>290</v>
          </cell>
          <cell r="M22">
            <v>293</v>
          </cell>
          <cell r="N22">
            <v>296</v>
          </cell>
          <cell r="O22">
            <v>302</v>
          </cell>
          <cell r="P22">
            <v>303</v>
          </cell>
          <cell r="Q22">
            <v>304</v>
          </cell>
          <cell r="R22">
            <v>305</v>
          </cell>
          <cell r="V22">
            <v>305</v>
          </cell>
        </row>
        <row r="23">
          <cell r="F23">
            <v>0.57407407407407407</v>
          </cell>
        </row>
        <row r="33">
          <cell r="F33">
            <v>328.92640000000029</v>
          </cell>
          <cell r="G33">
            <v>381.77444999999989</v>
          </cell>
          <cell r="H33">
            <v>430.20800000000054</v>
          </cell>
          <cell r="I33">
            <v>476.15610000000106</v>
          </cell>
          <cell r="J33">
            <v>522.73049999999967</v>
          </cell>
          <cell r="K33">
            <v>567.16329999999834</v>
          </cell>
          <cell r="L33">
            <v>603.80380000000059</v>
          </cell>
          <cell r="M33">
            <v>643.5092999999988</v>
          </cell>
          <cell r="N33">
            <v>684.51379999999972</v>
          </cell>
          <cell r="O33">
            <v>726.08175000000119</v>
          </cell>
          <cell r="P33">
            <v>768.8135999999995</v>
          </cell>
          <cell r="Q33">
            <v>809.88135000000057</v>
          </cell>
          <cell r="R33">
            <v>845.75059999999939</v>
          </cell>
          <cell r="V33">
            <v>846</v>
          </cell>
        </row>
        <row r="34">
          <cell r="F34">
            <v>0.19035092592592609</v>
          </cell>
        </row>
        <row r="39">
          <cell r="F39">
            <v>186.08500000000004</v>
          </cell>
          <cell r="G39">
            <v>218.15575000000035</v>
          </cell>
          <cell r="H39">
            <v>246.6216000000004</v>
          </cell>
          <cell r="I39">
            <v>273.00635000000011</v>
          </cell>
          <cell r="J39">
            <v>300.34450000000015</v>
          </cell>
          <cell r="K39">
            <v>326.21129999999994</v>
          </cell>
          <cell r="L39">
            <v>344.48940000000039</v>
          </cell>
          <cell r="M39">
            <v>365.87995000000046</v>
          </cell>
          <cell r="N39">
            <v>387.9976999999999</v>
          </cell>
          <cell r="O39">
            <v>410.9060000000004</v>
          </cell>
          <cell r="P39">
            <v>434.53960000000006</v>
          </cell>
          <cell r="Q39">
            <v>457.42134999999917</v>
          </cell>
          <cell r="R39">
            <v>476.5643</v>
          </cell>
          <cell r="V39">
            <v>457</v>
          </cell>
        </row>
        <row r="40">
          <cell r="F40">
            <v>0.15507083333333335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1">
          <cell r="C11">
            <v>535</v>
          </cell>
          <cell r="D11">
            <v>659</v>
          </cell>
          <cell r="E11">
            <v>768</v>
          </cell>
          <cell r="F11">
            <v>870</v>
          </cell>
          <cell r="G11">
            <v>973</v>
          </cell>
          <cell r="H11">
            <v>1065</v>
          </cell>
          <cell r="I11">
            <v>1139</v>
          </cell>
          <cell r="J11">
            <v>1214</v>
          </cell>
          <cell r="K11">
            <v>1285</v>
          </cell>
          <cell r="L11">
            <v>1350</v>
          </cell>
          <cell r="M11">
            <v>1417</v>
          </cell>
          <cell r="N11">
            <v>1471</v>
          </cell>
          <cell r="O11">
            <v>1499</v>
          </cell>
          <cell r="P11">
            <v>1510</v>
          </cell>
        </row>
        <row r="12">
          <cell r="C12">
            <v>212</v>
          </cell>
          <cell r="D12">
            <v>213</v>
          </cell>
          <cell r="E12">
            <v>214</v>
          </cell>
          <cell r="F12">
            <v>215</v>
          </cell>
          <cell r="G12">
            <v>216</v>
          </cell>
          <cell r="H12">
            <v>217</v>
          </cell>
          <cell r="I12">
            <v>218</v>
          </cell>
          <cell r="J12">
            <v>219</v>
          </cell>
          <cell r="K12">
            <v>220</v>
          </cell>
          <cell r="L12">
            <v>221</v>
          </cell>
          <cell r="M12">
            <v>222</v>
          </cell>
          <cell r="N12">
            <v>223</v>
          </cell>
          <cell r="O12">
            <v>224</v>
          </cell>
          <cell r="P12">
            <v>238</v>
          </cell>
        </row>
        <row r="87">
          <cell r="C87">
            <v>0.39142300194931773</v>
          </cell>
          <cell r="D87">
            <v>0.45847953216374271</v>
          </cell>
          <cell r="E87">
            <v>0.52066276803118905</v>
          </cell>
          <cell r="F87">
            <v>0.5797270955165692</v>
          </cell>
          <cell r="G87">
            <v>0.63859649122807016</v>
          </cell>
          <cell r="H87">
            <v>0.69454191033138402</v>
          </cell>
          <cell r="I87">
            <v>0.743859649122807</v>
          </cell>
          <cell r="J87">
            <v>0.79649122807017547</v>
          </cell>
          <cell r="K87">
            <v>0.85048732943469785</v>
          </cell>
          <cell r="L87">
            <v>0.90194931773879139</v>
          </cell>
          <cell r="M87">
            <v>0.95789473684210524</v>
          </cell>
          <cell r="N87">
            <v>1</v>
          </cell>
          <cell r="O87">
            <v>1.0477582846003899</v>
          </cell>
          <cell r="P87">
            <v>1.0801169590643276</v>
          </cell>
        </row>
        <row r="103">
          <cell r="C103">
            <v>0.367719298245614</v>
          </cell>
          <cell r="D103">
            <v>0.43134502923976603</v>
          </cell>
          <cell r="E103">
            <v>0.48701754385964913</v>
          </cell>
          <cell r="F103">
            <v>0.53754385964912277</v>
          </cell>
          <cell r="G103">
            <v>0.58923976608187134</v>
          </cell>
          <cell r="H103">
            <v>0.63625730994152052</v>
          </cell>
          <cell r="I103">
            <v>0.66713450292397658</v>
          </cell>
          <cell r="J103">
            <v>0.70479532163742686</v>
          </cell>
          <cell r="K103">
            <v>0.74456140350877187</v>
          </cell>
          <cell r="L103">
            <v>0.78315789473684205</v>
          </cell>
          <cell r="M103">
            <v>0.8252631578947367</v>
          </cell>
          <cell r="N103">
            <v>0.8629239766081872</v>
          </cell>
          <cell r="O103">
            <v>0.88771929824561402</v>
          </cell>
          <cell r="P103">
            <v>0.9064327485380117</v>
          </cell>
        </row>
      </sheetData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89"/>
  <sheetViews>
    <sheetView topLeftCell="A34" workbookViewId="0">
      <selection activeCell="U25" sqref="U25"/>
    </sheetView>
  </sheetViews>
  <sheetFormatPr defaultRowHeight="15"/>
  <cols>
    <col min="1" max="1" width="12.42578125" customWidth="1"/>
    <col min="2" max="2" width="25.7109375" customWidth="1"/>
    <col min="3" max="3" width="0" hidden="1" customWidth="1"/>
    <col min="4" max="18" width="6.28515625" customWidth="1"/>
  </cols>
  <sheetData>
    <row r="1" spans="1:21" ht="20.25">
      <c r="A1" s="121" t="s">
        <v>52</v>
      </c>
    </row>
    <row r="4" spans="1:21" ht="38.25" customHeight="1">
      <c r="A4" s="156" t="s">
        <v>41</v>
      </c>
      <c r="B4" s="93" t="s">
        <v>49</v>
      </c>
      <c r="C4" s="94" t="s">
        <v>43</v>
      </c>
      <c r="D4" s="95">
        <v>2021</v>
      </c>
      <c r="E4" s="95">
        <f t="shared" ref="E4:R4" si="0">D4+1</f>
        <v>2022</v>
      </c>
      <c r="F4" s="95">
        <f t="shared" si="0"/>
        <v>2023</v>
      </c>
      <c r="G4" s="95">
        <f t="shared" si="0"/>
        <v>2024</v>
      </c>
      <c r="H4" s="95">
        <f t="shared" si="0"/>
        <v>2025</v>
      </c>
      <c r="I4" s="95">
        <f t="shared" si="0"/>
        <v>2026</v>
      </c>
      <c r="J4" s="95">
        <f t="shared" si="0"/>
        <v>2027</v>
      </c>
      <c r="K4" s="95">
        <f t="shared" si="0"/>
        <v>2028</v>
      </c>
      <c r="L4" s="95">
        <f t="shared" si="0"/>
        <v>2029</v>
      </c>
      <c r="M4" s="95">
        <f t="shared" si="0"/>
        <v>2030</v>
      </c>
      <c r="N4" s="95">
        <f t="shared" si="0"/>
        <v>2031</v>
      </c>
      <c r="O4" s="95">
        <f t="shared" si="0"/>
        <v>2032</v>
      </c>
      <c r="P4" s="95">
        <f t="shared" si="0"/>
        <v>2033</v>
      </c>
      <c r="Q4" s="95">
        <f t="shared" si="0"/>
        <v>2034</v>
      </c>
      <c r="R4" s="95">
        <f t="shared" si="0"/>
        <v>2035</v>
      </c>
    </row>
    <row r="5" spans="1:21">
      <c r="A5" s="156"/>
      <c r="B5" s="85" t="s">
        <v>36</v>
      </c>
      <c r="C5" s="96">
        <v>49.116999999999962</v>
      </c>
      <c r="D5" s="96">
        <v>59.037000000000035</v>
      </c>
      <c r="E5" s="96">
        <v>68.298700000000053</v>
      </c>
      <c r="F5" s="96">
        <v>77.286799999999971</v>
      </c>
      <c r="G5" s="96">
        <v>85.881550000000061</v>
      </c>
      <c r="H5" s="96">
        <v>94.643500000000017</v>
      </c>
      <c r="I5" s="96">
        <v>102.62480000000005</v>
      </c>
      <c r="J5" s="96">
        <v>108.79600000000005</v>
      </c>
      <c r="K5" s="96">
        <v>115.68685000000005</v>
      </c>
      <c r="L5" s="96">
        <v>123.11450000000002</v>
      </c>
      <c r="M5" s="96">
        <v>129.87125000000003</v>
      </c>
      <c r="N5" s="96">
        <v>137.23239999999998</v>
      </c>
      <c r="O5" s="96">
        <v>143.73029999999994</v>
      </c>
      <c r="P5" s="96">
        <v>148.8184</v>
      </c>
      <c r="Q5" s="96">
        <v>153.29814999999996</v>
      </c>
      <c r="R5" s="96">
        <v>153</v>
      </c>
      <c r="T5" s="88"/>
      <c r="U5" s="98"/>
    </row>
    <row r="6" spans="1:21">
      <c r="A6" s="156"/>
      <c r="B6" s="85" t="s">
        <v>37</v>
      </c>
      <c r="C6" s="96">
        <v>22.741000000000042</v>
      </c>
      <c r="D6" s="96">
        <v>27.235400000000027</v>
      </c>
      <c r="E6" s="96">
        <v>31.479750000000024</v>
      </c>
      <c r="F6" s="96">
        <v>35.470000000000027</v>
      </c>
      <c r="G6" s="96">
        <v>39.34839999999997</v>
      </c>
      <c r="H6" s="96">
        <v>43.490999999999985</v>
      </c>
      <c r="I6" s="96">
        <v>47</v>
      </c>
      <c r="J6" s="96">
        <v>49.13760000000002</v>
      </c>
      <c r="K6" s="96">
        <v>51.979200000000048</v>
      </c>
      <c r="L6" s="96">
        <v>54.972100000000012</v>
      </c>
      <c r="M6" s="96">
        <v>57.720500000000015</v>
      </c>
      <c r="N6" s="96">
        <v>60.836399999999969</v>
      </c>
      <c r="O6" s="96">
        <v>63.771399999999971</v>
      </c>
      <c r="P6" s="96">
        <v>66.326600000000042</v>
      </c>
      <c r="Q6" s="96">
        <v>68.57325000000003</v>
      </c>
      <c r="R6" s="96">
        <v>69</v>
      </c>
      <c r="T6" s="88"/>
      <c r="U6" s="98"/>
    </row>
    <row r="7" spans="1:21">
      <c r="A7" s="156"/>
      <c r="B7" s="84" t="s">
        <v>38</v>
      </c>
      <c r="C7" s="99">
        <v>45.658500000000004</v>
      </c>
      <c r="D7" s="99">
        <v>55.710299999999961</v>
      </c>
      <c r="E7" s="99">
        <v>65.008800000000008</v>
      </c>
      <c r="F7" s="99">
        <v>74.384399999999971</v>
      </c>
      <c r="G7" s="99">
        <v>83.262499999999989</v>
      </c>
      <c r="H7" s="99">
        <v>92.411999999999978</v>
      </c>
      <c r="I7" s="99">
        <v>101.12904999999995</v>
      </c>
      <c r="J7" s="99">
        <v>108.3784</v>
      </c>
      <c r="K7" s="99">
        <v>116.80095</v>
      </c>
      <c r="L7" s="99">
        <v>125.37470000000002</v>
      </c>
      <c r="M7" s="99">
        <v>133.95049999999998</v>
      </c>
      <c r="N7" s="99">
        <v>142.77600000000001</v>
      </c>
      <c r="O7" s="99">
        <v>151.74539999999996</v>
      </c>
      <c r="P7" s="99">
        <v>159.6826999999999</v>
      </c>
      <c r="Q7" s="99">
        <v>166.72620000000001</v>
      </c>
      <c r="R7" s="99">
        <v>167</v>
      </c>
      <c r="S7" s="83"/>
      <c r="T7" s="88"/>
      <c r="U7" s="98"/>
    </row>
    <row r="8" spans="1:21">
      <c r="A8" s="156"/>
      <c r="B8" s="85" t="s">
        <v>39</v>
      </c>
      <c r="C8" s="96">
        <v>90.751250000000027</v>
      </c>
      <c r="D8" s="96">
        <v>135</v>
      </c>
      <c r="E8" s="96">
        <v>161</v>
      </c>
      <c r="F8" s="96">
        <v>187</v>
      </c>
      <c r="G8" s="96">
        <v>212</v>
      </c>
      <c r="H8" s="96">
        <v>238</v>
      </c>
      <c r="I8" s="96">
        <v>263</v>
      </c>
      <c r="J8" s="96">
        <v>287</v>
      </c>
      <c r="K8" s="96">
        <v>311</v>
      </c>
      <c r="L8" s="96">
        <v>337</v>
      </c>
      <c r="M8" s="96">
        <v>363</v>
      </c>
      <c r="N8" s="96">
        <v>390</v>
      </c>
      <c r="O8" s="96">
        <v>416</v>
      </c>
      <c r="P8" s="96">
        <v>439</v>
      </c>
      <c r="Q8" s="96">
        <v>487</v>
      </c>
      <c r="R8" s="96">
        <v>487</v>
      </c>
      <c r="T8" s="88"/>
      <c r="U8" s="98"/>
    </row>
    <row r="9" spans="1:21">
      <c r="A9" s="156"/>
      <c r="B9" s="85" t="s">
        <v>40</v>
      </c>
      <c r="C9" s="96">
        <v>80.799999999999955</v>
      </c>
      <c r="D9" s="96">
        <v>98.536699999999996</v>
      </c>
      <c r="E9" s="96">
        <v>115.99865</v>
      </c>
      <c r="F9" s="96">
        <v>132.44159999999999</v>
      </c>
      <c r="G9" s="96">
        <v>149.0299</v>
      </c>
      <c r="H9" s="96">
        <v>165.83749999999998</v>
      </c>
      <c r="I9" s="96">
        <v>182</v>
      </c>
      <c r="J9" s="96">
        <v>194.74239999999986</v>
      </c>
      <c r="K9" s="96">
        <v>209.18824999999993</v>
      </c>
      <c r="L9" s="96">
        <v>224.43039999999996</v>
      </c>
      <c r="M9" s="96">
        <v>239.93049999999994</v>
      </c>
      <c r="N9" s="96">
        <v>256.41439999999989</v>
      </c>
      <c r="O9" s="96">
        <v>271.90885000000003</v>
      </c>
      <c r="P9" s="96">
        <v>284.62199999999984</v>
      </c>
      <c r="Q9" s="96">
        <v>311</v>
      </c>
      <c r="R9" s="96">
        <v>311</v>
      </c>
      <c r="T9" s="88"/>
      <c r="U9" s="98"/>
    </row>
    <row r="10" spans="1:21" s="87" customFormat="1">
      <c r="A10" s="156"/>
      <c r="B10" s="86" t="s">
        <v>44</v>
      </c>
      <c r="C10" s="100"/>
      <c r="D10" s="100">
        <f>SUM(D5:D9)</f>
        <v>375.51940000000002</v>
      </c>
      <c r="E10" s="100">
        <f t="shared" ref="E10:P10" si="1">SUM(E5:E9)</f>
        <v>441.78590000000008</v>
      </c>
      <c r="F10" s="100">
        <f t="shared" si="1"/>
        <v>506.58279999999996</v>
      </c>
      <c r="G10" s="100">
        <f t="shared" si="1"/>
        <v>569.52234999999996</v>
      </c>
      <c r="H10" s="100">
        <f t="shared" si="1"/>
        <v>634.38400000000001</v>
      </c>
      <c r="I10" s="100">
        <f t="shared" si="1"/>
        <v>695.75385000000006</v>
      </c>
      <c r="J10" s="100">
        <f t="shared" si="1"/>
        <v>748.05439999999999</v>
      </c>
      <c r="K10" s="100">
        <f t="shared" si="1"/>
        <v>804.65525000000002</v>
      </c>
      <c r="L10" s="100">
        <f t="shared" si="1"/>
        <v>864.89170000000001</v>
      </c>
      <c r="M10" s="100">
        <f t="shared" si="1"/>
        <v>924.47274999999991</v>
      </c>
      <c r="N10" s="100">
        <f t="shared" si="1"/>
        <v>987.25919999999985</v>
      </c>
      <c r="O10" s="100">
        <f t="shared" si="1"/>
        <v>1047.1559499999998</v>
      </c>
      <c r="P10" s="100">
        <f t="shared" si="1"/>
        <v>1098.4496999999997</v>
      </c>
      <c r="Q10" s="100">
        <f>SUM(Q5:Q9)</f>
        <v>1186.5976000000001</v>
      </c>
      <c r="R10" s="100">
        <f>SUM(R5:R9)</f>
        <v>1187</v>
      </c>
      <c r="T10" s="125"/>
      <c r="U10" s="102"/>
    </row>
    <row r="12" spans="1:21" ht="38.25" customHeight="1">
      <c r="A12" s="156" t="s">
        <v>42</v>
      </c>
      <c r="B12" s="93" t="s">
        <v>50</v>
      </c>
      <c r="C12" s="94" t="s">
        <v>43</v>
      </c>
      <c r="D12" s="95">
        <v>2021</v>
      </c>
      <c r="E12" s="95">
        <f t="shared" ref="E12" si="2">D12+1</f>
        <v>2022</v>
      </c>
      <c r="F12" s="95">
        <f t="shared" ref="F12" si="3">E12+1</f>
        <v>2023</v>
      </c>
      <c r="G12" s="95">
        <f t="shared" ref="G12" si="4">F12+1</f>
        <v>2024</v>
      </c>
      <c r="H12" s="95">
        <f t="shared" ref="H12" si="5">G12+1</f>
        <v>2025</v>
      </c>
      <c r="I12" s="95">
        <f t="shared" ref="I12" si="6">H12+1</f>
        <v>2026</v>
      </c>
      <c r="J12" s="95">
        <f t="shared" ref="J12" si="7">I12+1</f>
        <v>2027</v>
      </c>
      <c r="K12" s="95">
        <f t="shared" ref="K12" si="8">J12+1</f>
        <v>2028</v>
      </c>
      <c r="L12" s="95">
        <f t="shared" ref="L12" si="9">K12+1</f>
        <v>2029</v>
      </c>
      <c r="M12" s="95">
        <f t="shared" ref="M12" si="10">L12+1</f>
        <v>2030</v>
      </c>
      <c r="N12" s="95">
        <f t="shared" ref="N12" si="11">M12+1</f>
        <v>2031</v>
      </c>
      <c r="O12" s="95">
        <f t="shared" ref="O12" si="12">N12+1</f>
        <v>2032</v>
      </c>
      <c r="P12" s="95">
        <f t="shared" ref="P12" si="13">O12+1</f>
        <v>2033</v>
      </c>
      <c r="Q12" s="95">
        <f t="shared" ref="Q12" si="14">P12+1</f>
        <v>2034</v>
      </c>
      <c r="R12" s="95">
        <f t="shared" ref="R12" si="15">Q12+1</f>
        <v>2035</v>
      </c>
    </row>
    <row r="13" spans="1:21">
      <c r="A13" s="156"/>
      <c r="B13" s="85" t="s">
        <v>36</v>
      </c>
      <c r="C13" s="96">
        <v>49.116999999999962</v>
      </c>
      <c r="D13" s="96">
        <f>D5</f>
        <v>59.037000000000035</v>
      </c>
      <c r="E13" s="96">
        <f>E5-D5</f>
        <v>9.2617000000000189</v>
      </c>
      <c r="F13" s="96">
        <f t="shared" ref="F13:R13" si="16">F5-E5</f>
        <v>8.9880999999999176</v>
      </c>
      <c r="G13" s="96">
        <f t="shared" si="16"/>
        <v>8.59475000000009</v>
      </c>
      <c r="H13" s="96">
        <f t="shared" si="16"/>
        <v>8.7619499999999562</v>
      </c>
      <c r="I13" s="96">
        <f t="shared" si="16"/>
        <v>7.9813000000000329</v>
      </c>
      <c r="J13" s="96">
        <f t="shared" si="16"/>
        <v>6.1711999999999989</v>
      </c>
      <c r="K13" s="96">
        <f t="shared" si="16"/>
        <v>6.8908500000000004</v>
      </c>
      <c r="L13" s="96">
        <f t="shared" si="16"/>
        <v>7.4276499999999714</v>
      </c>
      <c r="M13" s="96">
        <f t="shared" si="16"/>
        <v>6.7567500000000109</v>
      </c>
      <c r="N13" s="96">
        <f t="shared" si="16"/>
        <v>7.3611499999999523</v>
      </c>
      <c r="O13" s="96">
        <f t="shared" si="16"/>
        <v>6.4978999999999587</v>
      </c>
      <c r="P13" s="96">
        <f t="shared" si="16"/>
        <v>5.088100000000054</v>
      </c>
      <c r="Q13" s="96">
        <f t="shared" si="16"/>
        <v>4.4797499999999673</v>
      </c>
      <c r="R13" s="96">
        <f t="shared" si="16"/>
        <v>-0.29814999999996417</v>
      </c>
      <c r="T13" s="97"/>
      <c r="U13" s="98"/>
    </row>
    <row r="14" spans="1:21">
      <c r="A14" s="156"/>
      <c r="B14" s="85" t="s">
        <v>37</v>
      </c>
      <c r="C14" s="96">
        <v>22.741000000000042</v>
      </c>
      <c r="D14" s="96">
        <f t="shared" ref="D14:D17" si="17">D6</f>
        <v>27.235400000000027</v>
      </c>
      <c r="E14" s="96">
        <f t="shared" ref="E14:R17" si="18">E6-D6</f>
        <v>4.2443499999999972</v>
      </c>
      <c r="F14" s="96">
        <f t="shared" si="18"/>
        <v>3.9902500000000032</v>
      </c>
      <c r="G14" s="96">
        <f t="shared" si="18"/>
        <v>3.8783999999999423</v>
      </c>
      <c r="H14" s="96">
        <f t="shared" si="18"/>
        <v>4.1426000000000158</v>
      </c>
      <c r="I14" s="96">
        <f t="shared" si="18"/>
        <v>3.5090000000000146</v>
      </c>
      <c r="J14" s="96">
        <f t="shared" si="18"/>
        <v>2.1376000000000204</v>
      </c>
      <c r="K14" s="96">
        <f t="shared" si="18"/>
        <v>2.8416000000000281</v>
      </c>
      <c r="L14" s="96">
        <f t="shared" si="18"/>
        <v>2.9928999999999633</v>
      </c>
      <c r="M14" s="96">
        <f t="shared" si="18"/>
        <v>2.7484000000000037</v>
      </c>
      <c r="N14" s="96">
        <f t="shared" si="18"/>
        <v>3.1158999999999537</v>
      </c>
      <c r="O14" s="96">
        <f t="shared" si="18"/>
        <v>2.9350000000000023</v>
      </c>
      <c r="P14" s="96">
        <f t="shared" si="18"/>
        <v>2.5552000000000703</v>
      </c>
      <c r="Q14" s="96">
        <f t="shared" si="18"/>
        <v>2.2466499999999883</v>
      </c>
      <c r="R14" s="96">
        <f t="shared" si="18"/>
        <v>0.42674999999996999</v>
      </c>
      <c r="T14" s="97"/>
      <c r="U14" s="98"/>
    </row>
    <row r="15" spans="1:21">
      <c r="A15" s="156"/>
      <c r="B15" s="84" t="s">
        <v>38</v>
      </c>
      <c r="C15" s="99">
        <v>45.658500000000004</v>
      </c>
      <c r="D15" s="96">
        <f t="shared" si="17"/>
        <v>55.710299999999961</v>
      </c>
      <c r="E15" s="96">
        <f t="shared" si="18"/>
        <v>9.2985000000000468</v>
      </c>
      <c r="F15" s="96">
        <f t="shared" si="18"/>
        <v>9.3755999999999631</v>
      </c>
      <c r="G15" s="96">
        <f t="shared" si="18"/>
        <v>8.8781000000000176</v>
      </c>
      <c r="H15" s="96">
        <f t="shared" si="18"/>
        <v>9.1494999999999891</v>
      </c>
      <c r="I15" s="96">
        <f t="shared" si="18"/>
        <v>8.717049999999972</v>
      </c>
      <c r="J15" s="96">
        <f t="shared" si="18"/>
        <v>7.2493500000000495</v>
      </c>
      <c r="K15" s="96">
        <f t="shared" si="18"/>
        <v>8.4225500000000011</v>
      </c>
      <c r="L15" s="96">
        <f t="shared" si="18"/>
        <v>8.5737500000000182</v>
      </c>
      <c r="M15" s="96">
        <f t="shared" si="18"/>
        <v>8.5757999999999583</v>
      </c>
      <c r="N15" s="96">
        <f t="shared" si="18"/>
        <v>8.8255000000000337</v>
      </c>
      <c r="O15" s="96">
        <f t="shared" si="18"/>
        <v>8.9693999999999505</v>
      </c>
      <c r="P15" s="96">
        <f t="shared" si="18"/>
        <v>7.9372999999999365</v>
      </c>
      <c r="Q15" s="96">
        <f t="shared" si="18"/>
        <v>7.0435000000001082</v>
      </c>
      <c r="R15" s="96">
        <f t="shared" si="18"/>
        <v>0.27379999999999427</v>
      </c>
      <c r="S15" s="83"/>
      <c r="T15" s="97"/>
      <c r="U15" s="98"/>
    </row>
    <row r="16" spans="1:21">
      <c r="A16" s="156"/>
      <c r="B16" s="85" t="s">
        <v>39</v>
      </c>
      <c r="C16" s="96">
        <v>90.751250000000027</v>
      </c>
      <c r="D16" s="96">
        <f t="shared" si="17"/>
        <v>135</v>
      </c>
      <c r="E16" s="96">
        <f t="shared" si="18"/>
        <v>26</v>
      </c>
      <c r="F16" s="96">
        <f t="shared" si="18"/>
        <v>26</v>
      </c>
      <c r="G16" s="96">
        <f t="shared" si="18"/>
        <v>25</v>
      </c>
      <c r="H16" s="96">
        <f t="shared" si="18"/>
        <v>26</v>
      </c>
      <c r="I16" s="96">
        <f t="shared" si="18"/>
        <v>25</v>
      </c>
      <c r="J16" s="96">
        <f t="shared" si="18"/>
        <v>24</v>
      </c>
      <c r="K16" s="96">
        <f t="shared" si="18"/>
        <v>24</v>
      </c>
      <c r="L16" s="96">
        <f t="shared" si="18"/>
        <v>26</v>
      </c>
      <c r="M16" s="96">
        <f t="shared" si="18"/>
        <v>26</v>
      </c>
      <c r="N16" s="96">
        <f t="shared" si="18"/>
        <v>27</v>
      </c>
      <c r="O16" s="96">
        <f t="shared" si="18"/>
        <v>26</v>
      </c>
      <c r="P16" s="96">
        <f t="shared" si="18"/>
        <v>23</v>
      </c>
      <c r="Q16" s="96">
        <f t="shared" si="18"/>
        <v>48</v>
      </c>
      <c r="R16" s="96">
        <f t="shared" si="18"/>
        <v>0</v>
      </c>
      <c r="T16" s="97"/>
      <c r="U16" s="98"/>
    </row>
    <row r="17" spans="1:21">
      <c r="A17" s="156"/>
      <c r="B17" s="85" t="s">
        <v>40</v>
      </c>
      <c r="C17" s="96">
        <v>80.799999999999955</v>
      </c>
      <c r="D17" s="96">
        <f t="shared" si="17"/>
        <v>98.536699999999996</v>
      </c>
      <c r="E17" s="96">
        <f t="shared" si="18"/>
        <v>17.461950000000002</v>
      </c>
      <c r="F17" s="96">
        <f t="shared" si="18"/>
        <v>16.442949999999996</v>
      </c>
      <c r="G17" s="96">
        <f t="shared" si="18"/>
        <v>16.588300000000004</v>
      </c>
      <c r="H17" s="96">
        <f t="shared" si="18"/>
        <v>16.807599999999979</v>
      </c>
      <c r="I17" s="96">
        <f t="shared" si="18"/>
        <v>16.162500000000023</v>
      </c>
      <c r="J17" s="96">
        <f t="shared" si="18"/>
        <v>12.742399999999861</v>
      </c>
      <c r="K17" s="96">
        <f t="shared" si="18"/>
        <v>14.445850000000064</v>
      </c>
      <c r="L17" s="96">
        <f t="shared" si="18"/>
        <v>15.242150000000038</v>
      </c>
      <c r="M17" s="96">
        <f t="shared" si="18"/>
        <v>15.500099999999975</v>
      </c>
      <c r="N17" s="96">
        <f t="shared" si="18"/>
        <v>16.483899999999949</v>
      </c>
      <c r="O17" s="96">
        <f t="shared" si="18"/>
        <v>15.494450000000143</v>
      </c>
      <c r="P17" s="96">
        <f t="shared" si="18"/>
        <v>12.713149999999814</v>
      </c>
      <c r="Q17" s="96">
        <f t="shared" si="18"/>
        <v>26.378000000000156</v>
      </c>
      <c r="R17" s="96">
        <f t="shared" si="18"/>
        <v>0</v>
      </c>
      <c r="T17" s="97"/>
      <c r="U17" s="98"/>
    </row>
    <row r="18" spans="1:21" s="87" customFormat="1">
      <c r="A18" s="156"/>
      <c r="B18" s="86" t="s">
        <v>44</v>
      </c>
      <c r="C18" s="100"/>
      <c r="D18" s="100">
        <f>SUM(D13:D17)</f>
        <v>375.51940000000002</v>
      </c>
      <c r="E18" s="100">
        <f t="shared" ref="E18" si="19">SUM(E13:E17)</f>
        <v>66.266500000000065</v>
      </c>
      <c r="F18" s="100">
        <f t="shared" ref="F18" si="20">SUM(F13:F17)</f>
        <v>64.79689999999988</v>
      </c>
      <c r="G18" s="100">
        <f t="shared" ref="G18" si="21">SUM(G13:G17)</f>
        <v>62.939550000000054</v>
      </c>
      <c r="H18" s="100">
        <f t="shared" ref="H18" si="22">SUM(H13:H17)</f>
        <v>64.861649999999941</v>
      </c>
      <c r="I18" s="100">
        <f t="shared" ref="I18" si="23">SUM(I13:I17)</f>
        <v>61.369850000000042</v>
      </c>
      <c r="J18" s="100">
        <f t="shared" ref="J18" si="24">SUM(J13:J17)</f>
        <v>52.30054999999993</v>
      </c>
      <c r="K18" s="100">
        <f t="shared" ref="K18" si="25">SUM(K13:K17)</f>
        <v>56.600850000000094</v>
      </c>
      <c r="L18" s="100">
        <f t="shared" ref="L18" si="26">SUM(L13:L17)</f>
        <v>60.236449999999991</v>
      </c>
      <c r="M18" s="100">
        <f t="shared" ref="M18" si="27">SUM(M13:M17)</f>
        <v>59.581049999999948</v>
      </c>
      <c r="N18" s="100">
        <f t="shared" ref="N18" si="28">SUM(N13:N17)</f>
        <v>62.786449999999888</v>
      </c>
      <c r="O18" s="100">
        <f t="shared" ref="O18" si="29">SUM(O13:O17)</f>
        <v>59.896750000000054</v>
      </c>
      <c r="P18" s="100">
        <f t="shared" ref="P18" si="30">SUM(P13:P17)</f>
        <v>51.293749999999875</v>
      </c>
      <c r="Q18" s="100">
        <f>SUM(Q13:Q17)</f>
        <v>88.14790000000022</v>
      </c>
      <c r="R18" s="100">
        <f>SUM(R13:R17)</f>
        <v>0.40240000000000009</v>
      </c>
      <c r="T18" s="101"/>
      <c r="U18" s="102"/>
    </row>
    <row r="20" spans="1:21" ht="30">
      <c r="A20" s="152" t="s">
        <v>41</v>
      </c>
      <c r="B20" s="93" t="s">
        <v>51</v>
      </c>
      <c r="C20" s="94" t="s">
        <v>43</v>
      </c>
      <c r="D20" s="95">
        <v>2021</v>
      </c>
      <c r="E20" s="95">
        <f t="shared" ref="E20:R20" si="31">D20+1</f>
        <v>2022</v>
      </c>
      <c r="F20" s="95">
        <f t="shared" si="31"/>
        <v>2023</v>
      </c>
      <c r="G20" s="95">
        <f t="shared" si="31"/>
        <v>2024</v>
      </c>
      <c r="H20" s="95">
        <f t="shared" si="31"/>
        <v>2025</v>
      </c>
      <c r="I20" s="95">
        <f t="shared" si="31"/>
        <v>2026</v>
      </c>
      <c r="J20" s="95">
        <f t="shared" si="31"/>
        <v>2027</v>
      </c>
      <c r="K20" s="95">
        <f t="shared" si="31"/>
        <v>2028</v>
      </c>
      <c r="L20" s="95">
        <f t="shared" si="31"/>
        <v>2029</v>
      </c>
      <c r="M20" s="95">
        <f t="shared" si="31"/>
        <v>2030</v>
      </c>
      <c r="N20" s="95">
        <f t="shared" si="31"/>
        <v>2031</v>
      </c>
      <c r="O20" s="95">
        <f t="shared" si="31"/>
        <v>2032</v>
      </c>
      <c r="P20" s="95">
        <f t="shared" si="31"/>
        <v>2033</v>
      </c>
      <c r="Q20" s="95">
        <f t="shared" si="31"/>
        <v>2034</v>
      </c>
      <c r="R20" s="95">
        <f t="shared" si="31"/>
        <v>2035</v>
      </c>
    </row>
    <row r="21" spans="1:21">
      <c r="A21" s="152"/>
      <c r="B21" s="85" t="s">
        <v>36</v>
      </c>
      <c r="C21" s="96">
        <v>61.467500000000086</v>
      </c>
      <c r="D21" s="96">
        <v>74.208600000000047</v>
      </c>
      <c r="E21" s="96">
        <v>86.117750000000001</v>
      </c>
      <c r="F21" s="96">
        <v>97.618400000000065</v>
      </c>
      <c r="G21" s="96">
        <v>108.65125</v>
      </c>
      <c r="H21" s="96">
        <v>119.97500000000002</v>
      </c>
      <c r="I21" s="96">
        <v>130.05250000000001</v>
      </c>
      <c r="J21" s="96">
        <v>137.28559999999993</v>
      </c>
      <c r="K21" s="96">
        <v>145.52044999999998</v>
      </c>
      <c r="L21" s="96">
        <v>154.50319999999999</v>
      </c>
      <c r="M21" s="96">
        <v>162.74950000000001</v>
      </c>
      <c r="N21" s="96">
        <v>171.64159999999993</v>
      </c>
      <c r="O21" s="96">
        <v>179.29999999999995</v>
      </c>
      <c r="P21" s="96">
        <v>184.80230000000006</v>
      </c>
      <c r="Q21" s="96">
        <v>189.23525000000006</v>
      </c>
      <c r="R21" s="96">
        <v>189</v>
      </c>
    </row>
    <row r="22" spans="1:21">
      <c r="A22" s="152"/>
      <c r="B22" s="85" t="s">
        <v>37</v>
      </c>
      <c r="C22" s="96">
        <v>21.343250000000012</v>
      </c>
      <c r="D22" s="96">
        <v>25.574700000000007</v>
      </c>
      <c r="E22" s="96">
        <v>29.543950000000052</v>
      </c>
      <c r="F22" s="96">
        <v>33.23640000000006</v>
      </c>
      <c r="G22" s="96">
        <v>36.783549999999991</v>
      </c>
      <c r="H22" s="96">
        <v>40.59250000000003</v>
      </c>
      <c r="I22" s="96">
        <v>43.675000000000011</v>
      </c>
      <c r="J22" s="96">
        <v>45.426800000000014</v>
      </c>
      <c r="K22" s="96">
        <v>47.788450000000012</v>
      </c>
      <c r="L22" s="96">
        <v>50.329799999999977</v>
      </c>
      <c r="M22" s="96">
        <v>52.666249999999991</v>
      </c>
      <c r="N22" s="96">
        <v>55.356400000000008</v>
      </c>
      <c r="O22" s="96">
        <v>57.819150000000036</v>
      </c>
      <c r="P22" s="96">
        <v>59.865900000000011</v>
      </c>
      <c r="Q22" s="96">
        <v>61.589350000000024</v>
      </c>
      <c r="R22" s="96">
        <v>62</v>
      </c>
    </row>
    <row r="23" spans="1:21">
      <c r="A23" s="152"/>
      <c r="B23" s="84" t="s">
        <v>38</v>
      </c>
      <c r="C23" s="99">
        <v>56.754249999999956</v>
      </c>
      <c r="D23" s="99">
        <v>69.656000000000063</v>
      </c>
      <c r="E23" s="99">
        <v>81.621049999999968</v>
      </c>
      <c r="F23" s="99">
        <v>93.36239999999998</v>
      </c>
      <c r="G23" s="99">
        <v>104.35304999999994</v>
      </c>
      <c r="H23" s="99">
        <v>115.95650000000001</v>
      </c>
      <c r="I23" s="99">
        <v>126.75614999999993</v>
      </c>
      <c r="J23" s="99">
        <v>134.41799999999989</v>
      </c>
      <c r="K23" s="99">
        <v>144.05119999999999</v>
      </c>
      <c r="L23" s="99">
        <v>154.1635</v>
      </c>
      <c r="M23" s="99">
        <v>164.12649999999996</v>
      </c>
      <c r="N23" s="99">
        <v>174.32600000000002</v>
      </c>
      <c r="O23" s="99">
        <v>185.03565000000003</v>
      </c>
      <c r="P23" s="99">
        <v>194.13609999999994</v>
      </c>
      <c r="Q23" s="99">
        <v>201.8999</v>
      </c>
      <c r="R23" s="99">
        <v>202</v>
      </c>
    </row>
    <row r="24" spans="1:21">
      <c r="A24" s="152"/>
      <c r="B24" s="85" t="s">
        <v>39</v>
      </c>
      <c r="C24" s="96">
        <v>115.33450000000016</v>
      </c>
      <c r="D24" s="96">
        <v>135</v>
      </c>
      <c r="E24" s="96">
        <v>163</v>
      </c>
      <c r="F24" s="96">
        <v>189</v>
      </c>
      <c r="G24" s="96">
        <v>215</v>
      </c>
      <c r="H24" s="96">
        <v>241</v>
      </c>
      <c r="I24" s="96">
        <v>267</v>
      </c>
      <c r="J24" s="96">
        <v>289</v>
      </c>
      <c r="K24" s="96">
        <v>313</v>
      </c>
      <c r="L24" s="96">
        <v>338</v>
      </c>
      <c r="M24" s="96">
        <v>363</v>
      </c>
      <c r="N24" s="96">
        <v>390</v>
      </c>
      <c r="O24" s="96">
        <v>415</v>
      </c>
      <c r="P24" s="96">
        <v>435</v>
      </c>
      <c r="Q24" s="96">
        <v>485</v>
      </c>
      <c r="R24" s="96">
        <v>485</v>
      </c>
    </row>
    <row r="25" spans="1:21">
      <c r="A25" s="152"/>
      <c r="B25" s="85" t="s">
        <v>40</v>
      </c>
      <c r="C25" s="96">
        <v>100.35674999999992</v>
      </c>
      <c r="D25" s="96">
        <v>123.07500000000005</v>
      </c>
      <c r="E25" s="96">
        <v>145.57024999999999</v>
      </c>
      <c r="F25" s="96">
        <v>166.66159999999991</v>
      </c>
      <c r="G25" s="96">
        <v>188.02974999999992</v>
      </c>
      <c r="H25" s="96">
        <v>209.89700000000016</v>
      </c>
      <c r="I25" s="96">
        <v>229.79960000000005</v>
      </c>
      <c r="J25" s="96">
        <v>245.94780000000014</v>
      </c>
      <c r="K25" s="96">
        <v>263.85649999999987</v>
      </c>
      <c r="L25" s="96">
        <v>282.7038</v>
      </c>
      <c r="M25" s="96">
        <v>301.56600000000003</v>
      </c>
      <c r="N25" s="96">
        <v>321.55399999999986</v>
      </c>
      <c r="O25" s="96">
        <v>339.89329999999995</v>
      </c>
      <c r="P25" s="96">
        <v>354.1395</v>
      </c>
      <c r="Q25" s="96">
        <v>380</v>
      </c>
      <c r="R25" s="96">
        <v>380</v>
      </c>
    </row>
    <row r="26" spans="1:21">
      <c r="A26" s="152"/>
      <c r="B26" s="86" t="s">
        <v>44</v>
      </c>
      <c r="C26" s="96"/>
      <c r="D26" s="100">
        <f>SUM(D21:D25)</f>
        <v>427.51430000000016</v>
      </c>
      <c r="E26" s="100">
        <f t="shared" ref="E26:R26" si="32">SUM(E21:E25)</f>
        <v>505.85300000000001</v>
      </c>
      <c r="F26" s="100">
        <f t="shared" si="32"/>
        <v>579.87879999999996</v>
      </c>
      <c r="G26" s="100">
        <f t="shared" si="32"/>
        <v>652.81759999999986</v>
      </c>
      <c r="H26" s="100">
        <f t="shared" si="32"/>
        <v>727.42100000000028</v>
      </c>
      <c r="I26" s="100">
        <f t="shared" si="32"/>
        <v>797.28324999999995</v>
      </c>
      <c r="J26" s="100">
        <f t="shared" si="32"/>
        <v>852.07819999999992</v>
      </c>
      <c r="K26" s="100">
        <f t="shared" si="32"/>
        <v>914.21659999999986</v>
      </c>
      <c r="L26" s="100">
        <f t="shared" si="32"/>
        <v>979.70029999999997</v>
      </c>
      <c r="M26" s="100">
        <f t="shared" si="32"/>
        <v>1044.10825</v>
      </c>
      <c r="N26" s="100">
        <f t="shared" si="32"/>
        <v>1112.8779999999997</v>
      </c>
      <c r="O26" s="100">
        <f t="shared" si="32"/>
        <v>1177.0481</v>
      </c>
      <c r="P26" s="100">
        <f t="shared" si="32"/>
        <v>1227.9438</v>
      </c>
      <c r="Q26" s="100">
        <f t="shared" si="32"/>
        <v>1317.7245</v>
      </c>
      <c r="R26" s="100">
        <f t="shared" si="32"/>
        <v>1318</v>
      </c>
    </row>
    <row r="29" spans="1:21" ht="30">
      <c r="A29" s="153" t="s">
        <v>42</v>
      </c>
      <c r="B29" s="93" t="s">
        <v>51</v>
      </c>
      <c r="C29" s="94" t="s">
        <v>43</v>
      </c>
      <c r="D29" s="95">
        <v>2021</v>
      </c>
      <c r="E29" s="95">
        <f t="shared" ref="E29" si="33">D29+1</f>
        <v>2022</v>
      </c>
      <c r="F29" s="95">
        <f t="shared" ref="F29" si="34">E29+1</f>
        <v>2023</v>
      </c>
      <c r="G29" s="95">
        <f t="shared" ref="G29" si="35">F29+1</f>
        <v>2024</v>
      </c>
      <c r="H29" s="95">
        <f t="shared" ref="H29" si="36">G29+1</f>
        <v>2025</v>
      </c>
      <c r="I29" s="95">
        <f t="shared" ref="I29" si="37">H29+1</f>
        <v>2026</v>
      </c>
      <c r="J29" s="95">
        <f t="shared" ref="J29" si="38">I29+1</f>
        <v>2027</v>
      </c>
      <c r="K29" s="95">
        <f t="shared" ref="K29" si="39">J29+1</f>
        <v>2028</v>
      </c>
      <c r="L29" s="95">
        <f t="shared" ref="L29" si="40">K29+1</f>
        <v>2029</v>
      </c>
      <c r="M29" s="95">
        <f t="shared" ref="M29" si="41">L29+1</f>
        <v>2030</v>
      </c>
      <c r="N29" s="95">
        <f t="shared" ref="N29" si="42">M29+1</f>
        <v>2031</v>
      </c>
      <c r="O29" s="95">
        <f t="shared" ref="O29" si="43">N29+1</f>
        <v>2032</v>
      </c>
      <c r="P29" s="95">
        <f t="shared" ref="P29" si="44">O29+1</f>
        <v>2033</v>
      </c>
      <c r="Q29" s="95">
        <f t="shared" ref="Q29" si="45">P29+1</f>
        <v>2034</v>
      </c>
      <c r="R29" s="95">
        <f t="shared" ref="R29" si="46">Q29+1</f>
        <v>2035</v>
      </c>
    </row>
    <row r="30" spans="1:21">
      <c r="A30" s="154"/>
      <c r="B30" s="85" t="s">
        <v>36</v>
      </c>
      <c r="C30" s="96">
        <v>61.467500000000086</v>
      </c>
      <c r="D30" s="96">
        <f>D21</f>
        <v>74.208600000000047</v>
      </c>
      <c r="E30" s="96">
        <f>E21-D21</f>
        <v>11.909149999999954</v>
      </c>
      <c r="F30" s="96">
        <f t="shared" ref="F30:R30" si="47">F21-E21</f>
        <v>11.500650000000064</v>
      </c>
      <c r="G30" s="96">
        <f t="shared" si="47"/>
        <v>11.032849999999939</v>
      </c>
      <c r="H30" s="96">
        <f t="shared" si="47"/>
        <v>11.323750000000018</v>
      </c>
      <c r="I30" s="96">
        <f t="shared" si="47"/>
        <v>10.077499999999986</v>
      </c>
      <c r="J30" s="96">
        <f t="shared" si="47"/>
        <v>7.2330999999999221</v>
      </c>
      <c r="K30" s="96">
        <f t="shared" si="47"/>
        <v>8.2348500000000513</v>
      </c>
      <c r="L30" s="96">
        <f t="shared" si="47"/>
        <v>8.98275000000001</v>
      </c>
      <c r="M30" s="96">
        <f t="shared" si="47"/>
        <v>8.2463000000000193</v>
      </c>
      <c r="N30" s="96">
        <f t="shared" si="47"/>
        <v>8.892099999999914</v>
      </c>
      <c r="O30" s="96">
        <f t="shared" si="47"/>
        <v>7.6584000000000287</v>
      </c>
      <c r="P30" s="96">
        <f t="shared" si="47"/>
        <v>5.5023000000001048</v>
      </c>
      <c r="Q30" s="96">
        <f t="shared" si="47"/>
        <v>4.4329500000000053</v>
      </c>
      <c r="R30" s="96">
        <f t="shared" si="47"/>
        <v>-0.23525000000006457</v>
      </c>
    </row>
    <row r="31" spans="1:21">
      <c r="A31" s="154"/>
      <c r="B31" s="85" t="s">
        <v>37</v>
      </c>
      <c r="C31" s="96">
        <v>21.343250000000012</v>
      </c>
      <c r="D31" s="96">
        <f t="shared" ref="D31:D34" si="48">D22</f>
        <v>25.574700000000007</v>
      </c>
      <c r="E31" s="96">
        <f t="shared" ref="E31:R34" si="49">E22-D22</f>
        <v>3.969250000000045</v>
      </c>
      <c r="F31" s="96">
        <f t="shared" si="49"/>
        <v>3.692450000000008</v>
      </c>
      <c r="G31" s="96">
        <f t="shared" si="49"/>
        <v>3.547149999999931</v>
      </c>
      <c r="H31" s="96">
        <f t="shared" si="49"/>
        <v>3.8089500000000385</v>
      </c>
      <c r="I31" s="96">
        <f t="shared" si="49"/>
        <v>3.0824999999999818</v>
      </c>
      <c r="J31" s="96">
        <f t="shared" si="49"/>
        <v>1.7518000000000029</v>
      </c>
      <c r="K31" s="96">
        <f t="shared" si="49"/>
        <v>2.3616499999999974</v>
      </c>
      <c r="L31" s="96">
        <f t="shared" si="49"/>
        <v>2.5413499999999658</v>
      </c>
      <c r="M31" s="96">
        <f t="shared" si="49"/>
        <v>2.3364500000000135</v>
      </c>
      <c r="N31" s="96">
        <f t="shared" si="49"/>
        <v>2.6901500000000169</v>
      </c>
      <c r="O31" s="96">
        <f t="shared" si="49"/>
        <v>2.4627500000000282</v>
      </c>
      <c r="P31" s="96">
        <f t="shared" si="49"/>
        <v>2.0467499999999745</v>
      </c>
      <c r="Q31" s="96">
        <f t="shared" si="49"/>
        <v>1.7234500000000139</v>
      </c>
      <c r="R31" s="96">
        <f t="shared" si="49"/>
        <v>0.41064999999997553</v>
      </c>
    </row>
    <row r="32" spans="1:21">
      <c r="A32" s="154"/>
      <c r="B32" s="84" t="s">
        <v>38</v>
      </c>
      <c r="C32" s="99">
        <v>56.754249999999956</v>
      </c>
      <c r="D32" s="96">
        <f t="shared" si="48"/>
        <v>69.656000000000063</v>
      </c>
      <c r="E32" s="96">
        <f t="shared" si="49"/>
        <v>11.965049999999906</v>
      </c>
      <c r="F32" s="96">
        <f t="shared" si="49"/>
        <v>11.741350000000011</v>
      </c>
      <c r="G32" s="96">
        <f t="shared" si="49"/>
        <v>10.99064999999996</v>
      </c>
      <c r="H32" s="96">
        <f t="shared" si="49"/>
        <v>11.603450000000066</v>
      </c>
      <c r="I32" s="96">
        <f t="shared" si="49"/>
        <v>10.799649999999929</v>
      </c>
      <c r="J32" s="96">
        <f t="shared" si="49"/>
        <v>7.6618499999999585</v>
      </c>
      <c r="K32" s="96">
        <f t="shared" si="49"/>
        <v>9.6332000000001017</v>
      </c>
      <c r="L32" s="96">
        <f t="shared" si="49"/>
        <v>10.112300000000005</v>
      </c>
      <c r="M32" s="96">
        <f t="shared" si="49"/>
        <v>9.9629999999999654</v>
      </c>
      <c r="N32" s="96">
        <f t="shared" si="49"/>
        <v>10.199500000000057</v>
      </c>
      <c r="O32" s="96">
        <f t="shared" si="49"/>
        <v>10.709650000000011</v>
      </c>
      <c r="P32" s="96">
        <f t="shared" si="49"/>
        <v>9.1004499999999098</v>
      </c>
      <c r="Q32" s="96">
        <f t="shared" si="49"/>
        <v>7.7638000000000602</v>
      </c>
      <c r="R32" s="96">
        <f t="shared" si="49"/>
        <v>0.10009999999999764</v>
      </c>
    </row>
    <row r="33" spans="1:18">
      <c r="A33" s="154"/>
      <c r="B33" s="85" t="s">
        <v>39</v>
      </c>
      <c r="C33" s="96">
        <v>115.33450000000016</v>
      </c>
      <c r="D33" s="96">
        <f t="shared" si="48"/>
        <v>135</v>
      </c>
      <c r="E33" s="96">
        <f t="shared" si="49"/>
        <v>28</v>
      </c>
      <c r="F33" s="96">
        <f t="shared" si="49"/>
        <v>26</v>
      </c>
      <c r="G33" s="96">
        <f t="shared" si="49"/>
        <v>26</v>
      </c>
      <c r="H33" s="96">
        <f t="shared" si="49"/>
        <v>26</v>
      </c>
      <c r="I33" s="96">
        <f t="shared" si="49"/>
        <v>26</v>
      </c>
      <c r="J33" s="96">
        <f t="shared" si="49"/>
        <v>22</v>
      </c>
      <c r="K33" s="96">
        <f t="shared" si="49"/>
        <v>24</v>
      </c>
      <c r="L33" s="96">
        <f t="shared" si="49"/>
        <v>25</v>
      </c>
      <c r="M33" s="96">
        <f t="shared" si="49"/>
        <v>25</v>
      </c>
      <c r="N33" s="96">
        <f t="shared" si="49"/>
        <v>27</v>
      </c>
      <c r="O33" s="96">
        <f t="shared" si="49"/>
        <v>25</v>
      </c>
      <c r="P33" s="96">
        <f t="shared" si="49"/>
        <v>20</v>
      </c>
      <c r="Q33" s="96">
        <f t="shared" si="49"/>
        <v>50</v>
      </c>
      <c r="R33" s="96">
        <f t="shared" si="49"/>
        <v>0</v>
      </c>
    </row>
    <row r="34" spans="1:18">
      <c r="A34" s="154"/>
      <c r="B34" s="85" t="s">
        <v>40</v>
      </c>
      <c r="C34" s="96">
        <v>100.35674999999992</v>
      </c>
      <c r="D34" s="96">
        <f t="shared" si="48"/>
        <v>123.07500000000005</v>
      </c>
      <c r="E34" s="96">
        <f t="shared" si="49"/>
        <v>22.495249999999942</v>
      </c>
      <c r="F34" s="96">
        <f t="shared" si="49"/>
        <v>21.09134999999992</v>
      </c>
      <c r="G34" s="96">
        <f t="shared" si="49"/>
        <v>21.368150000000014</v>
      </c>
      <c r="H34" s="96">
        <f t="shared" si="49"/>
        <v>21.86725000000024</v>
      </c>
      <c r="I34" s="96">
        <f t="shared" si="49"/>
        <v>19.902599999999893</v>
      </c>
      <c r="J34" s="96">
        <f t="shared" si="49"/>
        <v>16.148200000000088</v>
      </c>
      <c r="K34" s="96">
        <f t="shared" si="49"/>
        <v>17.908699999999726</v>
      </c>
      <c r="L34" s="96">
        <f t="shared" si="49"/>
        <v>18.847300000000132</v>
      </c>
      <c r="M34" s="96">
        <f t="shared" si="49"/>
        <v>18.86220000000003</v>
      </c>
      <c r="N34" s="96">
        <f t="shared" si="49"/>
        <v>19.987999999999829</v>
      </c>
      <c r="O34" s="96">
        <f t="shared" si="49"/>
        <v>18.339300000000094</v>
      </c>
      <c r="P34" s="96">
        <f t="shared" si="49"/>
        <v>14.246200000000044</v>
      </c>
      <c r="Q34" s="96">
        <f t="shared" si="49"/>
        <v>25.860500000000002</v>
      </c>
      <c r="R34" s="96">
        <f t="shared" si="49"/>
        <v>0</v>
      </c>
    </row>
    <row r="35" spans="1:18">
      <c r="A35" s="155"/>
      <c r="B35" s="86" t="s">
        <v>44</v>
      </c>
      <c r="C35" s="96"/>
      <c r="D35" s="100">
        <f>SUM(D30:D34)</f>
        <v>427.51430000000016</v>
      </c>
      <c r="E35" s="100">
        <f t="shared" ref="E35" si="50">SUM(E30:E34)</f>
        <v>78.338699999999847</v>
      </c>
      <c r="F35" s="100">
        <f t="shared" ref="F35" si="51">SUM(F30:F34)</f>
        <v>74.025800000000004</v>
      </c>
      <c r="G35" s="100">
        <f t="shared" ref="G35" si="52">SUM(G30:G34)</f>
        <v>72.938799999999844</v>
      </c>
      <c r="H35" s="100">
        <f t="shared" ref="H35" si="53">SUM(H30:H34)</f>
        <v>74.603400000000363</v>
      </c>
      <c r="I35" s="100">
        <f t="shared" ref="I35" si="54">SUM(I30:I34)</f>
        <v>69.86224999999979</v>
      </c>
      <c r="J35" s="100">
        <f t="shared" ref="J35" si="55">SUM(J30:J34)</f>
        <v>54.794949999999972</v>
      </c>
      <c r="K35" s="100">
        <f t="shared" ref="K35" si="56">SUM(K30:K34)</f>
        <v>62.138399999999876</v>
      </c>
      <c r="L35" s="100">
        <f t="shared" ref="L35" si="57">SUM(L30:L34)</f>
        <v>65.483700000000113</v>
      </c>
      <c r="M35" s="100">
        <f t="shared" ref="M35" si="58">SUM(M30:M34)</f>
        <v>64.407950000000028</v>
      </c>
      <c r="N35" s="100">
        <f t="shared" ref="N35" si="59">SUM(N30:N34)</f>
        <v>68.769749999999817</v>
      </c>
      <c r="O35" s="100">
        <f t="shared" ref="O35" si="60">SUM(O30:O34)</f>
        <v>64.170100000000161</v>
      </c>
      <c r="P35" s="100">
        <f t="shared" ref="P35" si="61">SUM(P30:P34)</f>
        <v>50.895700000000033</v>
      </c>
      <c r="Q35" s="100">
        <f t="shared" ref="Q35" si="62">SUM(Q30:Q34)</f>
        <v>89.780700000000081</v>
      </c>
      <c r="R35" s="100">
        <f t="shared" ref="R35" si="63">SUM(R30:R34)</f>
        <v>0.2754999999999086</v>
      </c>
    </row>
    <row r="38" spans="1:18">
      <c r="A38" s="152" t="s">
        <v>41</v>
      </c>
      <c r="B38" s="130" t="s">
        <v>47</v>
      </c>
      <c r="C38" s="131">
        <v>2021</v>
      </c>
      <c r="D38" s="130">
        <v>2021</v>
      </c>
      <c r="E38" s="130">
        <f t="shared" ref="E38" si="64">D38+1</f>
        <v>2022</v>
      </c>
      <c r="F38" s="130">
        <f t="shared" ref="F38" si="65">E38+1</f>
        <v>2023</v>
      </c>
      <c r="G38" s="130">
        <f t="shared" ref="G38" si="66">F38+1</f>
        <v>2024</v>
      </c>
      <c r="H38" s="130">
        <f t="shared" ref="H38" si="67">G38+1</f>
        <v>2025</v>
      </c>
      <c r="I38" s="130">
        <f t="shared" ref="I38" si="68">H38+1</f>
        <v>2026</v>
      </c>
      <c r="J38" s="130">
        <f t="shared" ref="J38" si="69">I38+1</f>
        <v>2027</v>
      </c>
      <c r="K38" s="130">
        <f t="shared" ref="K38" si="70">J38+1</f>
        <v>2028</v>
      </c>
      <c r="L38" s="130">
        <f t="shared" ref="L38" si="71">K38+1</f>
        <v>2029</v>
      </c>
      <c r="M38" s="130">
        <f t="shared" ref="M38" si="72">L38+1</f>
        <v>2030</v>
      </c>
      <c r="N38" s="130">
        <f t="shared" ref="N38" si="73">M38+1</f>
        <v>2031</v>
      </c>
      <c r="O38" s="130">
        <f t="shared" ref="O38" si="74">N38+1</f>
        <v>2032</v>
      </c>
      <c r="P38" s="130">
        <f t="shared" ref="P38" si="75">O38+1</f>
        <v>2033</v>
      </c>
      <c r="Q38" s="130">
        <f t="shared" ref="Q38" si="76">P38+1</f>
        <v>2034</v>
      </c>
      <c r="R38" s="130">
        <f t="shared" ref="R38" si="77">Q38+1</f>
        <v>2035</v>
      </c>
    </row>
    <row r="39" spans="1:18">
      <c r="A39" s="152"/>
      <c r="B39" s="128" t="s">
        <v>36</v>
      </c>
      <c r="C39" s="128">
        <v>11.708892317115783</v>
      </c>
      <c r="D39" s="129">
        <f t="shared" ref="D39:Q39" si="78">D44/100*17.3</f>
        <v>37.540999999999997</v>
      </c>
      <c r="E39" s="129">
        <f t="shared" si="78"/>
        <v>40.481999999999999</v>
      </c>
      <c r="F39" s="129">
        <f t="shared" si="78"/>
        <v>43.422999999999995</v>
      </c>
      <c r="G39" s="129">
        <f t="shared" si="78"/>
        <v>46.364000000000004</v>
      </c>
      <c r="H39" s="129">
        <f t="shared" si="78"/>
        <v>49.651000000000003</v>
      </c>
      <c r="I39" s="129">
        <f t="shared" si="78"/>
        <v>50.17</v>
      </c>
      <c r="J39" s="129">
        <f t="shared" si="78"/>
        <v>50.17</v>
      </c>
      <c r="K39" s="129">
        <f t="shared" si="78"/>
        <v>50.689000000000007</v>
      </c>
      <c r="L39" s="129">
        <f t="shared" si="78"/>
        <v>51.207999999999998</v>
      </c>
      <c r="M39" s="129">
        <f t="shared" si="78"/>
        <v>52.246000000000002</v>
      </c>
      <c r="N39" s="129">
        <f t="shared" si="78"/>
        <v>52.418999999999997</v>
      </c>
      <c r="O39" s="129">
        <f t="shared" si="78"/>
        <v>52.592000000000006</v>
      </c>
      <c r="P39" s="129">
        <f t="shared" si="78"/>
        <v>52.765000000000001</v>
      </c>
      <c r="Q39" s="129">
        <f t="shared" si="78"/>
        <v>52.765000000000001</v>
      </c>
      <c r="R39" s="129">
        <v>52.690015427021123</v>
      </c>
    </row>
    <row r="40" spans="1:18">
      <c r="A40" s="152"/>
      <c r="B40" s="128" t="s">
        <v>37</v>
      </c>
      <c r="C40" s="128">
        <v>4.6677222949944408</v>
      </c>
      <c r="D40" s="129">
        <f t="shared" ref="D40:Q40" si="79">D44/100*6.9</f>
        <v>14.973000000000001</v>
      </c>
      <c r="E40" s="129">
        <f t="shared" si="79"/>
        <v>16.146000000000001</v>
      </c>
      <c r="F40" s="129">
        <f t="shared" si="79"/>
        <v>17.318999999999999</v>
      </c>
      <c r="G40" s="129">
        <f t="shared" si="79"/>
        <v>18.492000000000001</v>
      </c>
      <c r="H40" s="129">
        <f t="shared" si="79"/>
        <v>19.803000000000001</v>
      </c>
      <c r="I40" s="129">
        <f t="shared" si="79"/>
        <v>20.010000000000002</v>
      </c>
      <c r="J40" s="129">
        <f t="shared" si="79"/>
        <v>20.010000000000002</v>
      </c>
      <c r="K40" s="129">
        <f t="shared" si="79"/>
        <v>20.217000000000002</v>
      </c>
      <c r="L40" s="129">
        <f t="shared" si="79"/>
        <v>20.423999999999999</v>
      </c>
      <c r="M40" s="129">
        <f t="shared" si="79"/>
        <v>20.838000000000001</v>
      </c>
      <c r="N40" s="129">
        <f t="shared" si="79"/>
        <v>20.907</v>
      </c>
      <c r="O40" s="129">
        <f t="shared" si="79"/>
        <v>20.976000000000003</v>
      </c>
      <c r="P40" s="129">
        <f t="shared" si="79"/>
        <v>21.044999999999998</v>
      </c>
      <c r="Q40" s="129">
        <f t="shared" si="79"/>
        <v>21.044999999999998</v>
      </c>
      <c r="R40" s="129">
        <v>21.004750327474987</v>
      </c>
    </row>
    <row r="41" spans="1:18">
      <c r="A41" s="152"/>
      <c r="B41" s="128" t="s">
        <v>38</v>
      </c>
      <c r="C41" s="128">
        <v>10.843652244660859</v>
      </c>
      <c r="D41" s="129">
        <f t="shared" ref="D41:Q41" si="80">D44/100*16</f>
        <v>34.72</v>
      </c>
      <c r="E41" s="129">
        <f t="shared" si="80"/>
        <v>37.44</v>
      </c>
      <c r="F41" s="129">
        <f t="shared" si="80"/>
        <v>40.159999999999997</v>
      </c>
      <c r="G41" s="129">
        <f t="shared" si="80"/>
        <v>42.88</v>
      </c>
      <c r="H41" s="129">
        <f t="shared" si="80"/>
        <v>45.92</v>
      </c>
      <c r="I41" s="129">
        <f t="shared" si="80"/>
        <v>46.4</v>
      </c>
      <c r="J41" s="129">
        <f t="shared" si="80"/>
        <v>46.4</v>
      </c>
      <c r="K41" s="129">
        <f t="shared" si="80"/>
        <v>46.88</v>
      </c>
      <c r="L41" s="129">
        <f t="shared" si="80"/>
        <v>47.36</v>
      </c>
      <c r="M41" s="129">
        <f t="shared" si="80"/>
        <v>48.32</v>
      </c>
      <c r="N41" s="129">
        <f t="shared" si="80"/>
        <v>48.48</v>
      </c>
      <c r="O41" s="129">
        <f t="shared" si="80"/>
        <v>48.64</v>
      </c>
      <c r="P41" s="129">
        <f t="shared" si="80"/>
        <v>48.8</v>
      </c>
      <c r="Q41" s="129">
        <f t="shared" si="80"/>
        <v>48.8</v>
      </c>
      <c r="R41" s="129">
        <v>48.796435100973952</v>
      </c>
    </row>
    <row r="42" spans="1:18">
      <c r="A42" s="152"/>
      <c r="B42" s="128" t="s">
        <v>39</v>
      </c>
      <c r="C42" s="128">
        <v>21.820742100764988</v>
      </c>
      <c r="D42" s="129">
        <f t="shared" ref="D42:Q42" si="81">D44/100*31.5</f>
        <v>68.355000000000004</v>
      </c>
      <c r="E42" s="129">
        <f t="shared" si="81"/>
        <v>73.709999999999994</v>
      </c>
      <c r="F42" s="129">
        <f t="shared" si="81"/>
        <v>79.064999999999998</v>
      </c>
      <c r="G42" s="129">
        <f t="shared" si="81"/>
        <v>84.42</v>
      </c>
      <c r="H42" s="129">
        <f t="shared" si="81"/>
        <v>90.405000000000001</v>
      </c>
      <c r="I42" s="129">
        <f t="shared" si="81"/>
        <v>91.35</v>
      </c>
      <c r="J42" s="129">
        <f t="shared" si="81"/>
        <v>91.35</v>
      </c>
      <c r="K42" s="129">
        <f t="shared" si="81"/>
        <v>92.295000000000002</v>
      </c>
      <c r="L42" s="129">
        <f t="shared" si="81"/>
        <v>93.24</v>
      </c>
      <c r="M42" s="129">
        <f t="shared" si="81"/>
        <v>95.13</v>
      </c>
      <c r="N42" s="129">
        <f t="shared" si="81"/>
        <v>95.444999999999993</v>
      </c>
      <c r="O42" s="129">
        <f t="shared" si="81"/>
        <v>95.76</v>
      </c>
      <c r="P42" s="129">
        <f t="shared" si="81"/>
        <v>96.074999999999989</v>
      </c>
      <c r="Q42" s="129">
        <f t="shared" si="81"/>
        <v>96.074999999999989</v>
      </c>
      <c r="R42" s="129">
        <v>96</v>
      </c>
    </row>
    <row r="43" spans="1:18">
      <c r="A43" s="152"/>
      <c r="B43" s="128" t="s">
        <v>40</v>
      </c>
      <c r="C43" s="128">
        <v>19.181213264685965</v>
      </c>
      <c r="D43" s="129">
        <f t="shared" ref="D43:Q43" si="82">D44/100*28.3</f>
        <v>61.411000000000001</v>
      </c>
      <c r="E43" s="129">
        <f t="shared" si="82"/>
        <v>66.221999999999994</v>
      </c>
      <c r="F43" s="129">
        <f t="shared" si="82"/>
        <v>71.033000000000001</v>
      </c>
      <c r="G43" s="129">
        <f t="shared" si="82"/>
        <v>75.844000000000008</v>
      </c>
      <c r="H43" s="129">
        <f t="shared" si="82"/>
        <v>81.221000000000004</v>
      </c>
      <c r="I43" s="129">
        <f t="shared" si="82"/>
        <v>82.07</v>
      </c>
      <c r="J43" s="129">
        <f t="shared" si="82"/>
        <v>82.07</v>
      </c>
      <c r="K43" s="129">
        <f t="shared" si="82"/>
        <v>82.919000000000011</v>
      </c>
      <c r="L43" s="129">
        <f t="shared" si="82"/>
        <v>83.768000000000001</v>
      </c>
      <c r="M43" s="129">
        <f t="shared" si="82"/>
        <v>85.466000000000008</v>
      </c>
      <c r="N43" s="129">
        <f t="shared" si="82"/>
        <v>85.748999999999995</v>
      </c>
      <c r="O43" s="129">
        <f t="shared" si="82"/>
        <v>86.031999999999996</v>
      </c>
      <c r="P43" s="129">
        <f t="shared" si="82"/>
        <v>86.314999999999998</v>
      </c>
      <c r="Q43" s="129">
        <f t="shared" si="82"/>
        <v>86.314999999999998</v>
      </c>
      <c r="R43" s="129">
        <v>86.315459691086915</v>
      </c>
    </row>
    <row r="44" spans="1:18">
      <c r="A44" s="152"/>
      <c r="B44" s="127" t="s">
        <v>44</v>
      </c>
      <c r="C44" s="127"/>
      <c r="D44" s="132">
        <v>217</v>
      </c>
      <c r="E44" s="132">
        <v>234</v>
      </c>
      <c r="F44" s="132">
        <v>251</v>
      </c>
      <c r="G44" s="132">
        <v>268</v>
      </c>
      <c r="H44" s="132">
        <v>287</v>
      </c>
      <c r="I44" s="132">
        <v>290</v>
      </c>
      <c r="J44" s="132">
        <v>290</v>
      </c>
      <c r="K44" s="132">
        <v>293</v>
      </c>
      <c r="L44" s="132">
        <v>296</v>
      </c>
      <c r="M44" s="132">
        <v>302</v>
      </c>
      <c r="N44" s="132">
        <v>303</v>
      </c>
      <c r="O44" s="132">
        <v>304</v>
      </c>
      <c r="P44" s="132">
        <v>305</v>
      </c>
      <c r="Q44" s="132">
        <v>305</v>
      </c>
      <c r="R44" s="132">
        <v>305</v>
      </c>
    </row>
    <row r="46" spans="1:18">
      <c r="A46" s="152" t="s">
        <v>41</v>
      </c>
      <c r="B46" s="130" t="s">
        <v>47</v>
      </c>
      <c r="C46" s="131">
        <v>2021</v>
      </c>
      <c r="D46" s="130">
        <v>2021</v>
      </c>
      <c r="E46" s="130">
        <f t="shared" ref="E46" si="83">D46+1</f>
        <v>2022</v>
      </c>
      <c r="F46" s="130">
        <f t="shared" ref="F46" si="84">E46+1</f>
        <v>2023</v>
      </c>
      <c r="G46" s="130">
        <f t="shared" ref="G46" si="85">F46+1</f>
        <v>2024</v>
      </c>
      <c r="H46" s="130">
        <f t="shared" ref="H46" si="86">G46+1</f>
        <v>2025</v>
      </c>
      <c r="I46" s="130">
        <f t="shared" ref="I46" si="87">H46+1</f>
        <v>2026</v>
      </c>
      <c r="J46" s="130">
        <f t="shared" ref="J46" si="88">I46+1</f>
        <v>2027</v>
      </c>
      <c r="K46" s="130">
        <f t="shared" ref="K46" si="89">J46+1</f>
        <v>2028</v>
      </c>
      <c r="L46" s="130">
        <f t="shared" ref="L46" si="90">K46+1</f>
        <v>2029</v>
      </c>
      <c r="M46" s="130">
        <f t="shared" ref="M46" si="91">L46+1</f>
        <v>2030</v>
      </c>
      <c r="N46" s="130">
        <f t="shared" ref="N46" si="92">M46+1</f>
        <v>2031</v>
      </c>
      <c r="O46" s="130">
        <f t="shared" ref="O46" si="93">N46+1</f>
        <v>2032</v>
      </c>
      <c r="P46" s="130">
        <f t="shared" ref="P46" si="94">O46+1</f>
        <v>2033</v>
      </c>
      <c r="Q46" s="130">
        <f t="shared" ref="Q46" si="95">P46+1</f>
        <v>2034</v>
      </c>
      <c r="R46" s="130">
        <f t="shared" ref="R46" si="96">Q46+1</f>
        <v>2035</v>
      </c>
    </row>
    <row r="47" spans="1:18">
      <c r="A47" s="152"/>
      <c r="B47" s="128" t="s">
        <v>36</v>
      </c>
      <c r="C47" s="128">
        <v>11.708892317115783</v>
      </c>
      <c r="D47" s="129">
        <f>D39</f>
        <v>37.540999999999997</v>
      </c>
      <c r="E47" s="129">
        <f>E39-D39</f>
        <v>2.9410000000000025</v>
      </c>
      <c r="F47" s="129">
        <f t="shared" ref="F47:R47" si="97">F39-E39</f>
        <v>2.9409999999999954</v>
      </c>
      <c r="G47" s="129">
        <f t="shared" si="97"/>
        <v>2.9410000000000096</v>
      </c>
      <c r="H47" s="129">
        <f t="shared" si="97"/>
        <v>3.286999999999999</v>
      </c>
      <c r="I47" s="129">
        <f t="shared" si="97"/>
        <v>0.51899999999999835</v>
      </c>
      <c r="J47" s="129">
        <f t="shared" si="97"/>
        <v>0</v>
      </c>
      <c r="K47" s="129">
        <f t="shared" si="97"/>
        <v>0.51900000000000546</v>
      </c>
      <c r="L47" s="129">
        <f t="shared" si="97"/>
        <v>0.51899999999999125</v>
      </c>
      <c r="M47" s="129">
        <f t="shared" si="97"/>
        <v>1.0380000000000038</v>
      </c>
      <c r="N47" s="129">
        <f t="shared" si="97"/>
        <v>0.17299999999999471</v>
      </c>
      <c r="O47" s="129">
        <f t="shared" si="97"/>
        <v>0.17300000000000892</v>
      </c>
      <c r="P47" s="129">
        <f t="shared" si="97"/>
        <v>0.17299999999999471</v>
      </c>
      <c r="Q47" s="129">
        <f t="shared" si="97"/>
        <v>0</v>
      </c>
      <c r="R47" s="129">
        <f t="shared" si="97"/>
        <v>-7.4984572978877395E-2</v>
      </c>
    </row>
    <row r="48" spans="1:18">
      <c r="A48" s="152"/>
      <c r="B48" s="128" t="s">
        <v>37</v>
      </c>
      <c r="C48" s="128">
        <v>4.6677222949944408</v>
      </c>
      <c r="D48" s="129">
        <f t="shared" ref="D48:D52" si="98">D40</f>
        <v>14.973000000000001</v>
      </c>
      <c r="E48" s="129">
        <f>E40-D40</f>
        <v>1.173</v>
      </c>
      <c r="F48" s="129">
        <f t="shared" ref="F48:R48" si="99">F40-E40</f>
        <v>1.1729999999999983</v>
      </c>
      <c r="G48" s="129">
        <f t="shared" si="99"/>
        <v>1.1730000000000018</v>
      </c>
      <c r="H48" s="129">
        <f t="shared" si="99"/>
        <v>1.3109999999999999</v>
      </c>
      <c r="I48" s="129">
        <f t="shared" si="99"/>
        <v>0.20700000000000074</v>
      </c>
      <c r="J48" s="129">
        <f t="shared" si="99"/>
        <v>0</v>
      </c>
      <c r="K48" s="129">
        <f t="shared" si="99"/>
        <v>0.20700000000000074</v>
      </c>
      <c r="L48" s="129">
        <f t="shared" si="99"/>
        <v>0.20699999999999719</v>
      </c>
      <c r="M48" s="129">
        <f t="shared" si="99"/>
        <v>0.41400000000000148</v>
      </c>
      <c r="N48" s="129">
        <f t="shared" si="99"/>
        <v>6.8999999999999062E-2</v>
      </c>
      <c r="O48" s="129">
        <f t="shared" si="99"/>
        <v>6.9000000000002615E-2</v>
      </c>
      <c r="P48" s="129">
        <f t="shared" si="99"/>
        <v>6.8999999999995509E-2</v>
      </c>
      <c r="Q48" s="129">
        <f t="shared" si="99"/>
        <v>0</v>
      </c>
      <c r="R48" s="129">
        <f t="shared" si="99"/>
        <v>-4.0249672525010993E-2</v>
      </c>
    </row>
    <row r="49" spans="1:20">
      <c r="A49" s="152"/>
      <c r="B49" s="128" t="s">
        <v>38</v>
      </c>
      <c r="C49" s="128">
        <v>10.843652244660859</v>
      </c>
      <c r="D49" s="129">
        <f t="shared" si="98"/>
        <v>34.72</v>
      </c>
      <c r="E49" s="129">
        <f>E41-D41</f>
        <v>2.7199999999999989</v>
      </c>
      <c r="F49" s="129">
        <f t="shared" ref="F49:R49" si="100">F41-E41</f>
        <v>2.7199999999999989</v>
      </c>
      <c r="G49" s="129">
        <f t="shared" si="100"/>
        <v>2.720000000000006</v>
      </c>
      <c r="H49" s="129">
        <f t="shared" si="100"/>
        <v>3.0399999999999991</v>
      </c>
      <c r="I49" s="129">
        <f t="shared" si="100"/>
        <v>0.47999999999999687</v>
      </c>
      <c r="J49" s="129">
        <f t="shared" si="100"/>
        <v>0</v>
      </c>
      <c r="K49" s="129">
        <f t="shared" si="100"/>
        <v>0.48000000000000398</v>
      </c>
      <c r="L49" s="129">
        <f t="shared" si="100"/>
        <v>0.47999999999999687</v>
      </c>
      <c r="M49" s="129">
        <f t="shared" si="100"/>
        <v>0.96000000000000085</v>
      </c>
      <c r="N49" s="129">
        <f t="shared" si="100"/>
        <v>0.15999999999999659</v>
      </c>
      <c r="O49" s="129">
        <f t="shared" si="100"/>
        <v>0.16000000000000369</v>
      </c>
      <c r="P49" s="129">
        <f t="shared" si="100"/>
        <v>0.15999999999999659</v>
      </c>
      <c r="Q49" s="129">
        <f t="shared" si="100"/>
        <v>0</v>
      </c>
      <c r="R49" s="129">
        <f t="shared" si="100"/>
        <v>-3.5648990260455093E-3</v>
      </c>
    </row>
    <row r="50" spans="1:20">
      <c r="A50" s="152"/>
      <c r="B50" s="128" t="s">
        <v>39</v>
      </c>
      <c r="C50" s="128">
        <v>21.820742100764988</v>
      </c>
      <c r="D50" s="129">
        <f t="shared" si="98"/>
        <v>68.355000000000004</v>
      </c>
      <c r="E50" s="129">
        <f>E42-D42</f>
        <v>5.3549999999999898</v>
      </c>
      <c r="F50" s="129">
        <f t="shared" ref="F50:R50" si="101">F42-E42</f>
        <v>5.355000000000004</v>
      </c>
      <c r="G50" s="129">
        <f t="shared" si="101"/>
        <v>5.355000000000004</v>
      </c>
      <c r="H50" s="129">
        <f t="shared" si="101"/>
        <v>5.9849999999999994</v>
      </c>
      <c r="I50" s="129">
        <f t="shared" si="101"/>
        <v>0.94499999999999318</v>
      </c>
      <c r="J50" s="129">
        <f t="shared" si="101"/>
        <v>0</v>
      </c>
      <c r="K50" s="129">
        <f t="shared" si="101"/>
        <v>0.94500000000000739</v>
      </c>
      <c r="L50" s="129">
        <f t="shared" si="101"/>
        <v>0.94499999999999318</v>
      </c>
      <c r="M50" s="129">
        <f t="shared" si="101"/>
        <v>1.8900000000000006</v>
      </c>
      <c r="N50" s="129">
        <f t="shared" si="101"/>
        <v>0.31499999999999773</v>
      </c>
      <c r="O50" s="129">
        <f t="shared" si="101"/>
        <v>0.31500000000001194</v>
      </c>
      <c r="P50" s="129">
        <f t="shared" si="101"/>
        <v>0.31499999999998352</v>
      </c>
      <c r="Q50" s="129">
        <f t="shared" si="101"/>
        <v>0</v>
      </c>
      <c r="R50" s="129">
        <f t="shared" si="101"/>
        <v>-7.4999999999988631E-2</v>
      </c>
    </row>
    <row r="51" spans="1:20">
      <c r="A51" s="152"/>
      <c r="B51" s="128" t="s">
        <v>40</v>
      </c>
      <c r="C51" s="128">
        <v>19.181213264685965</v>
      </c>
      <c r="D51" s="129">
        <f t="shared" si="98"/>
        <v>61.411000000000001</v>
      </c>
      <c r="E51" s="129">
        <f>E43-D43</f>
        <v>4.8109999999999928</v>
      </c>
      <c r="F51" s="129">
        <f t="shared" ref="F51:R51" si="102">F43-E43</f>
        <v>4.811000000000007</v>
      </c>
      <c r="G51" s="129">
        <f t="shared" si="102"/>
        <v>4.811000000000007</v>
      </c>
      <c r="H51" s="129">
        <f t="shared" si="102"/>
        <v>5.3769999999999953</v>
      </c>
      <c r="I51" s="129">
        <f t="shared" si="102"/>
        <v>0.84899999999998954</v>
      </c>
      <c r="J51" s="129">
        <f t="shared" si="102"/>
        <v>0</v>
      </c>
      <c r="K51" s="129">
        <f t="shared" si="102"/>
        <v>0.84900000000001796</v>
      </c>
      <c r="L51" s="129">
        <f t="shared" si="102"/>
        <v>0.84899999999998954</v>
      </c>
      <c r="M51" s="129">
        <f t="shared" si="102"/>
        <v>1.6980000000000075</v>
      </c>
      <c r="N51" s="129">
        <f t="shared" si="102"/>
        <v>0.28299999999998704</v>
      </c>
      <c r="O51" s="129">
        <f t="shared" si="102"/>
        <v>0.28300000000000125</v>
      </c>
      <c r="P51" s="129">
        <f t="shared" si="102"/>
        <v>0.28300000000000125</v>
      </c>
      <c r="Q51" s="129">
        <f t="shared" si="102"/>
        <v>0</v>
      </c>
      <c r="R51" s="129">
        <f t="shared" si="102"/>
        <v>4.5969108691679139E-4</v>
      </c>
    </row>
    <row r="52" spans="1:20">
      <c r="A52" s="152"/>
      <c r="B52" s="127" t="s">
        <v>44</v>
      </c>
      <c r="C52" s="127"/>
      <c r="D52" s="133">
        <f t="shared" si="98"/>
        <v>217</v>
      </c>
      <c r="E52" s="132">
        <f>SUM(E47:E51)</f>
        <v>16.999999999999986</v>
      </c>
      <c r="F52" s="132">
        <f t="shared" ref="F52:R52" si="103">SUM(F47:F51)</f>
        <v>17.000000000000004</v>
      </c>
      <c r="G52" s="132">
        <f t="shared" si="103"/>
        <v>17.000000000000028</v>
      </c>
      <c r="H52" s="132">
        <f t="shared" si="103"/>
        <v>18.999999999999993</v>
      </c>
      <c r="I52" s="132">
        <f t="shared" si="103"/>
        <v>2.9999999999999787</v>
      </c>
      <c r="J52" s="132">
        <f t="shared" si="103"/>
        <v>0</v>
      </c>
      <c r="K52" s="132">
        <f t="shared" si="103"/>
        <v>3.0000000000000355</v>
      </c>
      <c r="L52" s="132">
        <f t="shared" si="103"/>
        <v>2.999999999999968</v>
      </c>
      <c r="M52" s="132">
        <f t="shared" si="103"/>
        <v>6.0000000000000142</v>
      </c>
      <c r="N52" s="132">
        <f t="shared" si="103"/>
        <v>0.99999999999997513</v>
      </c>
      <c r="O52" s="132">
        <f t="shared" si="103"/>
        <v>1.0000000000000284</v>
      </c>
      <c r="P52" s="132">
        <f t="shared" si="103"/>
        <v>0.99999999999997158</v>
      </c>
      <c r="Q52" s="132">
        <f t="shared" si="103"/>
        <v>0</v>
      </c>
      <c r="R52" s="132">
        <f t="shared" si="103"/>
        <v>-0.19333945344300574</v>
      </c>
    </row>
    <row r="55" spans="1:20">
      <c r="A55" s="152" t="s">
        <v>41</v>
      </c>
      <c r="B55" s="130" t="s">
        <v>54</v>
      </c>
      <c r="C55" s="131">
        <v>2021</v>
      </c>
      <c r="D55" s="130">
        <v>2021</v>
      </c>
      <c r="E55" s="130">
        <f t="shared" ref="E55" si="104">D55+1</f>
        <v>2022</v>
      </c>
      <c r="F55" s="130">
        <f t="shared" ref="F55" si="105">E55+1</f>
        <v>2023</v>
      </c>
      <c r="G55" s="130">
        <f t="shared" ref="G55" si="106">F55+1</f>
        <v>2024</v>
      </c>
      <c r="H55" s="130">
        <f t="shared" ref="H55" si="107">G55+1</f>
        <v>2025</v>
      </c>
      <c r="I55" s="130">
        <f t="shared" ref="I55" si="108">H55+1</f>
        <v>2026</v>
      </c>
      <c r="J55" s="130">
        <f t="shared" ref="J55" si="109">I55+1</f>
        <v>2027</v>
      </c>
      <c r="K55" s="130">
        <f t="shared" ref="K55" si="110">J55+1</f>
        <v>2028</v>
      </c>
      <c r="L55" s="130">
        <f t="shared" ref="L55" si="111">K55+1</f>
        <v>2029</v>
      </c>
      <c r="M55" s="130">
        <f t="shared" ref="M55" si="112">L55+1</f>
        <v>2030</v>
      </c>
      <c r="N55" s="130">
        <f t="shared" ref="N55" si="113">M55+1</f>
        <v>2031</v>
      </c>
      <c r="O55" s="130">
        <f t="shared" ref="O55" si="114">N55+1</f>
        <v>2032</v>
      </c>
      <c r="P55" s="130">
        <f t="shared" ref="P55" si="115">O55+1</f>
        <v>2033</v>
      </c>
      <c r="Q55" s="130">
        <f t="shared" ref="Q55" si="116">P55+1</f>
        <v>2034</v>
      </c>
      <c r="R55" s="130">
        <f t="shared" ref="R55" si="117">Q55+1</f>
        <v>2035</v>
      </c>
    </row>
    <row r="56" spans="1:20">
      <c r="A56" s="152"/>
      <c r="B56" s="128" t="s">
        <v>36</v>
      </c>
      <c r="C56" s="128">
        <v>11.708892317115783</v>
      </c>
      <c r="D56" s="129">
        <f>D62/100*17.3</f>
        <v>56.904267200000049</v>
      </c>
      <c r="E56" s="129">
        <f t="shared" ref="E56:R56" si="118">E62/100*17.3</f>
        <v>66.046979849999985</v>
      </c>
      <c r="F56" s="129">
        <f t="shared" si="118"/>
        <v>74.425984000000099</v>
      </c>
      <c r="G56" s="129">
        <f t="shared" si="118"/>
        <v>82.375005300000197</v>
      </c>
      <c r="H56" s="129">
        <f t="shared" si="118"/>
        <v>90.432376499999947</v>
      </c>
      <c r="I56" s="129">
        <f t="shared" si="118"/>
        <v>98.119250899999713</v>
      </c>
      <c r="J56" s="129">
        <f t="shared" si="118"/>
        <v>104.4580574000001</v>
      </c>
      <c r="K56" s="129">
        <f t="shared" si="118"/>
        <v>111.32710889999979</v>
      </c>
      <c r="L56" s="129">
        <f t="shared" si="118"/>
        <v>118.42088739999996</v>
      </c>
      <c r="M56" s="129">
        <f t="shared" si="118"/>
        <v>125.61214275000022</v>
      </c>
      <c r="N56" s="129">
        <f t="shared" si="118"/>
        <v>133.00475279999992</v>
      </c>
      <c r="O56" s="129">
        <f t="shared" si="118"/>
        <v>140.1094735500001</v>
      </c>
      <c r="P56" s="129">
        <f t="shared" si="118"/>
        <v>146.3148537999999</v>
      </c>
      <c r="Q56" s="129">
        <f t="shared" si="118"/>
        <v>146.35800000000003</v>
      </c>
      <c r="R56" s="129">
        <f t="shared" si="118"/>
        <v>146.35800000000003</v>
      </c>
      <c r="T56" s="88"/>
    </row>
    <row r="57" spans="1:20">
      <c r="A57" s="152"/>
      <c r="B57" s="128" t="s">
        <v>37</v>
      </c>
      <c r="C57" s="128">
        <v>4.6677222949944408</v>
      </c>
      <c r="D57" s="129">
        <f>D62/100*6.9</f>
        <v>22.69592160000002</v>
      </c>
      <c r="E57" s="129">
        <f t="shared" ref="E57:R57" si="119">E62/100*6.9</f>
        <v>26.342437049999994</v>
      </c>
      <c r="F57" s="129">
        <f t="shared" si="119"/>
        <v>29.68435200000004</v>
      </c>
      <c r="G57" s="129">
        <f t="shared" si="119"/>
        <v>32.854770900000076</v>
      </c>
      <c r="H57" s="129">
        <f t="shared" si="119"/>
        <v>36.068404499999978</v>
      </c>
      <c r="I57" s="129">
        <f t="shared" si="119"/>
        <v>39.134267699999882</v>
      </c>
      <c r="J57" s="129">
        <f t="shared" si="119"/>
        <v>41.662462200000043</v>
      </c>
      <c r="K57" s="129">
        <f t="shared" si="119"/>
        <v>44.402141699999916</v>
      </c>
      <c r="L57" s="129">
        <f t="shared" si="119"/>
        <v>47.231452199999978</v>
      </c>
      <c r="M57" s="129">
        <f t="shared" si="119"/>
        <v>50.099640750000091</v>
      </c>
      <c r="N57" s="129">
        <f t="shared" si="119"/>
        <v>53.048138399999964</v>
      </c>
      <c r="O57" s="129">
        <f t="shared" si="119"/>
        <v>55.881813150000042</v>
      </c>
      <c r="P57" s="129">
        <f t="shared" si="119"/>
        <v>58.356791399999956</v>
      </c>
      <c r="Q57" s="129">
        <f t="shared" si="119"/>
        <v>58.374000000000009</v>
      </c>
      <c r="R57" s="129">
        <f t="shared" si="119"/>
        <v>58.374000000000009</v>
      </c>
      <c r="T57" s="88"/>
    </row>
    <row r="58" spans="1:20">
      <c r="A58" s="152"/>
      <c r="B58" s="128" t="s">
        <v>38</v>
      </c>
      <c r="C58" s="128">
        <v>10.843652244660859</v>
      </c>
      <c r="D58" s="129">
        <f>D62/100*16</f>
        <v>52.628224000000046</v>
      </c>
      <c r="E58" s="129">
        <f t="shared" ref="E58:R58" si="120">E62/100*16</f>
        <v>61.083911999999984</v>
      </c>
      <c r="F58" s="129">
        <f t="shared" si="120"/>
        <v>68.833280000000087</v>
      </c>
      <c r="G58" s="129">
        <f t="shared" si="120"/>
        <v>76.184976000000177</v>
      </c>
      <c r="H58" s="129">
        <f t="shared" si="120"/>
        <v>83.636879999999948</v>
      </c>
      <c r="I58" s="129">
        <f t="shared" si="120"/>
        <v>90.746127999999729</v>
      </c>
      <c r="J58" s="129">
        <f t="shared" si="120"/>
        <v>96.608608000000089</v>
      </c>
      <c r="K58" s="129">
        <f t="shared" si="120"/>
        <v>102.9614879999998</v>
      </c>
      <c r="L58" s="129">
        <f t="shared" si="120"/>
        <v>109.52220799999995</v>
      </c>
      <c r="M58" s="129">
        <f t="shared" si="120"/>
        <v>116.1730800000002</v>
      </c>
      <c r="N58" s="129">
        <f t="shared" si="120"/>
        <v>123.01017599999992</v>
      </c>
      <c r="O58" s="129">
        <f t="shared" si="120"/>
        <v>129.58101600000009</v>
      </c>
      <c r="P58" s="129">
        <f t="shared" si="120"/>
        <v>135.32009599999989</v>
      </c>
      <c r="Q58" s="129">
        <f t="shared" si="120"/>
        <v>135.36000000000001</v>
      </c>
      <c r="R58" s="129">
        <f t="shared" si="120"/>
        <v>135.36000000000001</v>
      </c>
      <c r="T58" s="88"/>
    </row>
    <row r="59" spans="1:20">
      <c r="A59" s="152"/>
      <c r="B59" s="128" t="s">
        <v>39</v>
      </c>
      <c r="C59" s="128">
        <v>21.820742100764988</v>
      </c>
      <c r="D59" s="129">
        <f>D62/100*31.5</f>
        <v>103.61181600000009</v>
      </c>
      <c r="E59" s="129">
        <f t="shared" ref="E59:R59" si="121">E62/100*31.5</f>
        <v>120.25895174999997</v>
      </c>
      <c r="F59" s="129">
        <f t="shared" si="121"/>
        <v>135.51552000000018</v>
      </c>
      <c r="G59" s="129">
        <f t="shared" si="121"/>
        <v>149.98917150000034</v>
      </c>
      <c r="H59" s="129">
        <f t="shared" si="121"/>
        <v>164.6601074999999</v>
      </c>
      <c r="I59" s="129">
        <f t="shared" si="121"/>
        <v>178.65643949999946</v>
      </c>
      <c r="J59" s="129">
        <f t="shared" si="121"/>
        <v>190.19819700000016</v>
      </c>
      <c r="K59" s="129">
        <f t="shared" si="121"/>
        <v>202.70542949999961</v>
      </c>
      <c r="L59" s="129">
        <f t="shared" si="121"/>
        <v>215.62184699999989</v>
      </c>
      <c r="M59" s="129">
        <f t="shared" si="121"/>
        <v>228.71575125000038</v>
      </c>
      <c r="N59" s="129">
        <f t="shared" si="121"/>
        <v>242.17628399999984</v>
      </c>
      <c r="O59" s="129">
        <f t="shared" si="121"/>
        <v>255.11262525000018</v>
      </c>
      <c r="P59" s="129">
        <f t="shared" si="121"/>
        <v>266.4114389999998</v>
      </c>
      <c r="Q59" s="129">
        <f t="shared" si="121"/>
        <v>266.49</v>
      </c>
      <c r="R59" s="129">
        <f t="shared" si="121"/>
        <v>266.49</v>
      </c>
      <c r="T59" s="88"/>
    </row>
    <row r="60" spans="1:20">
      <c r="A60" s="152"/>
      <c r="B60" s="128" t="s">
        <v>40</v>
      </c>
      <c r="C60" s="128">
        <v>19.181213264685965</v>
      </c>
      <c r="D60" s="129">
        <f>D62/100*28.3</f>
        <v>93.086171200000081</v>
      </c>
      <c r="E60" s="129">
        <f t="shared" ref="E60:R60" si="122">E62/100*28.3</f>
        <v>108.04216934999998</v>
      </c>
      <c r="F60" s="129">
        <f t="shared" si="122"/>
        <v>121.74886400000015</v>
      </c>
      <c r="G60" s="129">
        <f t="shared" si="122"/>
        <v>134.75217630000031</v>
      </c>
      <c r="H60" s="129">
        <f t="shared" si="122"/>
        <v>147.9327314999999</v>
      </c>
      <c r="I60" s="129">
        <f t="shared" si="122"/>
        <v>160.50721389999953</v>
      </c>
      <c r="J60" s="129">
        <f t="shared" si="122"/>
        <v>170.87647540000017</v>
      </c>
      <c r="K60" s="129">
        <f t="shared" si="122"/>
        <v>182.11313189999964</v>
      </c>
      <c r="L60" s="129">
        <f t="shared" si="122"/>
        <v>193.7174053999999</v>
      </c>
      <c r="M60" s="129">
        <f t="shared" si="122"/>
        <v>205.48113525000036</v>
      </c>
      <c r="N60" s="129">
        <f t="shared" si="122"/>
        <v>217.57424879999985</v>
      </c>
      <c r="O60" s="129">
        <f t="shared" si="122"/>
        <v>229.19642205000017</v>
      </c>
      <c r="P60" s="129">
        <f t="shared" si="122"/>
        <v>239.34741979999981</v>
      </c>
      <c r="Q60" s="129">
        <f t="shared" si="122"/>
        <v>239.41800000000003</v>
      </c>
      <c r="R60" s="129">
        <f t="shared" si="122"/>
        <v>239.41800000000003</v>
      </c>
      <c r="T60" s="88"/>
    </row>
    <row r="61" spans="1:20">
      <c r="A61" s="152"/>
      <c r="B61" s="127" t="s">
        <v>44</v>
      </c>
      <c r="C61" s="127"/>
      <c r="D61" s="133">
        <f>SUM(D56:D60)</f>
        <v>328.92640000000029</v>
      </c>
      <c r="E61" s="132">
        <f>SUM(E56:E60)</f>
        <v>381.77444999999989</v>
      </c>
      <c r="F61" s="132">
        <f t="shared" ref="F61" si="123">SUM(F56:F60)</f>
        <v>430.20800000000054</v>
      </c>
      <c r="G61" s="132">
        <f t="shared" ref="G61" si="124">SUM(G56:G60)</f>
        <v>476.15610000000112</v>
      </c>
      <c r="H61" s="132">
        <f t="shared" ref="H61" si="125">SUM(H56:H60)</f>
        <v>522.73049999999967</v>
      </c>
      <c r="I61" s="132">
        <f t="shared" ref="I61" si="126">SUM(I56:I60)</f>
        <v>567.16329999999834</v>
      </c>
      <c r="J61" s="132">
        <f t="shared" ref="J61" si="127">SUM(J56:J60)</f>
        <v>603.80380000000059</v>
      </c>
      <c r="K61" s="132">
        <f t="shared" ref="K61" si="128">SUM(K56:K60)</f>
        <v>643.5092999999988</v>
      </c>
      <c r="L61" s="132">
        <f t="shared" ref="L61" si="129">SUM(L56:L60)</f>
        <v>684.51379999999972</v>
      </c>
      <c r="M61" s="132">
        <f t="shared" ref="M61" si="130">SUM(M56:M60)</f>
        <v>726.08175000000119</v>
      </c>
      <c r="N61" s="132">
        <f t="shared" ref="N61" si="131">SUM(N56:N60)</f>
        <v>768.8135999999995</v>
      </c>
      <c r="O61" s="132">
        <f t="shared" ref="O61" si="132">SUM(O56:O60)</f>
        <v>809.88135000000057</v>
      </c>
      <c r="P61" s="132">
        <f t="shared" ref="P61" si="133">SUM(P56:P60)</f>
        <v>845.75059999999928</v>
      </c>
      <c r="Q61" s="132">
        <f t="shared" ref="Q61" si="134">SUM(Q56:Q60)</f>
        <v>846.00000000000011</v>
      </c>
      <c r="R61" s="132">
        <f t="shared" ref="R61" si="135">SUM(R56:R60)</f>
        <v>846.00000000000011</v>
      </c>
    </row>
    <row r="62" spans="1:20" hidden="1">
      <c r="D62" s="24">
        <v>328.92640000000029</v>
      </c>
      <c r="E62" s="25">
        <v>381.77444999999989</v>
      </c>
      <c r="F62" s="26">
        <v>430.20800000000054</v>
      </c>
      <c r="G62" s="27">
        <v>476.15610000000106</v>
      </c>
      <c r="H62" s="27">
        <v>522.73049999999967</v>
      </c>
      <c r="I62" s="26">
        <v>567.16329999999834</v>
      </c>
      <c r="J62" s="27">
        <v>603.80380000000059</v>
      </c>
      <c r="K62" s="27">
        <v>643.5092999999988</v>
      </c>
      <c r="L62" s="27">
        <v>684.51379999999972</v>
      </c>
      <c r="M62" s="27">
        <v>726.08175000000119</v>
      </c>
      <c r="N62" s="27">
        <v>768.8135999999995</v>
      </c>
      <c r="O62" s="27">
        <v>809.88135000000057</v>
      </c>
      <c r="P62" s="27">
        <v>845.75059999999939</v>
      </c>
      <c r="Q62" s="27">
        <v>846</v>
      </c>
      <c r="R62" s="24">
        <v>846</v>
      </c>
    </row>
    <row r="64" spans="1:20">
      <c r="A64" s="153" t="s">
        <v>42</v>
      </c>
      <c r="B64" s="130" t="s">
        <v>54</v>
      </c>
      <c r="C64" s="131">
        <v>2021</v>
      </c>
      <c r="D64" s="130">
        <v>2021</v>
      </c>
      <c r="E64" s="130">
        <f t="shared" ref="E64" si="136">D64+1</f>
        <v>2022</v>
      </c>
      <c r="F64" s="130">
        <f t="shared" ref="F64" si="137">E64+1</f>
        <v>2023</v>
      </c>
      <c r="G64" s="130">
        <f t="shared" ref="G64" si="138">F64+1</f>
        <v>2024</v>
      </c>
      <c r="H64" s="130">
        <f t="shared" ref="H64" si="139">G64+1</f>
        <v>2025</v>
      </c>
      <c r="I64" s="130">
        <f t="shared" ref="I64" si="140">H64+1</f>
        <v>2026</v>
      </c>
      <c r="J64" s="130">
        <f t="shared" ref="J64" si="141">I64+1</f>
        <v>2027</v>
      </c>
      <c r="K64" s="130">
        <f t="shared" ref="K64" si="142">J64+1</f>
        <v>2028</v>
      </c>
      <c r="L64" s="130">
        <f t="shared" ref="L64" si="143">K64+1</f>
        <v>2029</v>
      </c>
      <c r="M64" s="130">
        <f t="shared" ref="M64" si="144">L64+1</f>
        <v>2030</v>
      </c>
      <c r="N64" s="130">
        <f t="shared" ref="N64" si="145">M64+1</f>
        <v>2031</v>
      </c>
      <c r="O64" s="130">
        <f t="shared" ref="O64" si="146">N64+1</f>
        <v>2032</v>
      </c>
      <c r="P64" s="130">
        <f t="shared" ref="P64" si="147">O64+1</f>
        <v>2033</v>
      </c>
      <c r="Q64" s="130">
        <f t="shared" ref="Q64" si="148">P64+1</f>
        <v>2034</v>
      </c>
      <c r="R64" s="130">
        <f t="shared" ref="R64" si="149">Q64+1</f>
        <v>2035</v>
      </c>
    </row>
    <row r="65" spans="1:18">
      <c r="A65" s="154"/>
      <c r="B65" s="128" t="s">
        <v>36</v>
      </c>
      <c r="C65" s="128">
        <v>11.708892317115783</v>
      </c>
      <c r="D65" s="89">
        <f>D56</f>
        <v>56.904267200000049</v>
      </c>
      <c r="E65" s="89">
        <f>E56-D56</f>
        <v>9.142712649999936</v>
      </c>
      <c r="F65" s="89">
        <f t="shared" ref="F65:R65" si="150">F56-E56</f>
        <v>8.3790041500001138</v>
      </c>
      <c r="G65" s="89">
        <f t="shared" si="150"/>
        <v>7.9490213000000978</v>
      </c>
      <c r="H65" s="89">
        <f t="shared" si="150"/>
        <v>8.0573711999997499</v>
      </c>
      <c r="I65" s="89">
        <f t="shared" si="150"/>
        <v>7.6868743999997662</v>
      </c>
      <c r="J65" s="89">
        <f t="shared" si="150"/>
        <v>6.3388065000003877</v>
      </c>
      <c r="K65" s="89">
        <f t="shared" si="150"/>
        <v>6.869051499999685</v>
      </c>
      <c r="L65" s="89">
        <f t="shared" si="150"/>
        <v>7.0937785000001696</v>
      </c>
      <c r="M65" s="89">
        <f t="shared" si="150"/>
        <v>7.1912553500002616</v>
      </c>
      <c r="N65" s="89">
        <f t="shared" si="150"/>
        <v>7.3926100499997034</v>
      </c>
      <c r="O65" s="89">
        <f t="shared" si="150"/>
        <v>7.1047207500001832</v>
      </c>
      <c r="P65" s="89">
        <f t="shared" si="150"/>
        <v>6.2053802499997914</v>
      </c>
      <c r="Q65" s="89">
        <f t="shared" si="150"/>
        <v>4.3146200000137469E-2</v>
      </c>
      <c r="R65" s="89">
        <f t="shared" si="150"/>
        <v>0</v>
      </c>
    </row>
    <row r="66" spans="1:18">
      <c r="A66" s="154"/>
      <c r="B66" s="128" t="s">
        <v>37</v>
      </c>
      <c r="C66" s="128">
        <v>4.6677222949944408</v>
      </c>
      <c r="D66" s="89">
        <f t="shared" ref="D66:D70" si="151">D57</f>
        <v>22.69592160000002</v>
      </c>
      <c r="E66" s="89">
        <f t="shared" ref="E66:R70" si="152">E57-D57</f>
        <v>3.6465154499999741</v>
      </c>
      <c r="F66" s="89">
        <f t="shared" si="152"/>
        <v>3.3419149500000458</v>
      </c>
      <c r="G66" s="89">
        <f t="shared" si="152"/>
        <v>3.1704189000000369</v>
      </c>
      <c r="H66" s="89">
        <f t="shared" si="152"/>
        <v>3.2136335999999019</v>
      </c>
      <c r="I66" s="89">
        <f t="shared" si="152"/>
        <v>3.0658631999999031</v>
      </c>
      <c r="J66" s="89">
        <f t="shared" si="152"/>
        <v>2.5281945000001613</v>
      </c>
      <c r="K66" s="89">
        <f t="shared" si="152"/>
        <v>2.7396794999998733</v>
      </c>
      <c r="L66" s="89">
        <f t="shared" si="152"/>
        <v>2.8293105000000622</v>
      </c>
      <c r="M66" s="89">
        <f t="shared" si="152"/>
        <v>2.868188550000113</v>
      </c>
      <c r="N66" s="89">
        <f t="shared" si="152"/>
        <v>2.9484976499998723</v>
      </c>
      <c r="O66" s="89">
        <f t="shared" si="152"/>
        <v>2.8336747500000783</v>
      </c>
      <c r="P66" s="89">
        <f t="shared" si="152"/>
        <v>2.4749782499999142</v>
      </c>
      <c r="Q66" s="89">
        <f t="shared" si="152"/>
        <v>1.7208600000053309E-2</v>
      </c>
      <c r="R66" s="89">
        <f t="shared" si="152"/>
        <v>0</v>
      </c>
    </row>
    <row r="67" spans="1:18">
      <c r="A67" s="154"/>
      <c r="B67" s="128" t="s">
        <v>38</v>
      </c>
      <c r="C67" s="128">
        <v>10.843652244660859</v>
      </c>
      <c r="D67" s="89">
        <f t="shared" si="151"/>
        <v>52.628224000000046</v>
      </c>
      <c r="E67" s="89">
        <f t="shared" si="152"/>
        <v>8.4556879999999381</v>
      </c>
      <c r="F67" s="89">
        <f t="shared" si="152"/>
        <v>7.7493680000001035</v>
      </c>
      <c r="G67" s="89">
        <f t="shared" si="152"/>
        <v>7.3516960000000893</v>
      </c>
      <c r="H67" s="89">
        <f t="shared" si="152"/>
        <v>7.4519039999997716</v>
      </c>
      <c r="I67" s="89">
        <f t="shared" si="152"/>
        <v>7.1092479999997806</v>
      </c>
      <c r="J67" s="89">
        <f t="shared" si="152"/>
        <v>5.8624800000003603</v>
      </c>
      <c r="K67" s="89">
        <f t="shared" si="152"/>
        <v>6.3528799999997148</v>
      </c>
      <c r="L67" s="89">
        <f t="shared" si="152"/>
        <v>6.5607200000001455</v>
      </c>
      <c r="M67" s="89">
        <f t="shared" si="152"/>
        <v>6.6508720000002484</v>
      </c>
      <c r="N67" s="89">
        <f t="shared" si="152"/>
        <v>6.8370959999997183</v>
      </c>
      <c r="O67" s="89">
        <f t="shared" si="152"/>
        <v>6.5708400000001745</v>
      </c>
      <c r="P67" s="89">
        <f t="shared" si="152"/>
        <v>5.7390799999998023</v>
      </c>
      <c r="Q67" s="89">
        <f t="shared" si="152"/>
        <v>3.9904000000120732E-2</v>
      </c>
      <c r="R67" s="89">
        <f t="shared" si="152"/>
        <v>0</v>
      </c>
    </row>
    <row r="68" spans="1:18">
      <c r="A68" s="154"/>
      <c r="B68" s="128" t="s">
        <v>39</v>
      </c>
      <c r="C68" s="128">
        <v>21.820742100764988</v>
      </c>
      <c r="D68" s="89">
        <f t="shared" si="151"/>
        <v>103.61181600000009</v>
      </c>
      <c r="E68" s="89">
        <f t="shared" si="152"/>
        <v>16.647135749999876</v>
      </c>
      <c r="F68" s="89">
        <f t="shared" si="152"/>
        <v>15.256568250000214</v>
      </c>
      <c r="G68" s="89">
        <f t="shared" si="152"/>
        <v>14.473651500000159</v>
      </c>
      <c r="H68" s="89">
        <f t="shared" si="152"/>
        <v>14.670935999999557</v>
      </c>
      <c r="I68" s="89">
        <f t="shared" si="152"/>
        <v>13.996331999999569</v>
      </c>
      <c r="J68" s="89">
        <f t="shared" si="152"/>
        <v>11.541757500000699</v>
      </c>
      <c r="K68" s="89">
        <f t="shared" si="152"/>
        <v>12.507232499999446</v>
      </c>
      <c r="L68" s="89">
        <f t="shared" si="152"/>
        <v>12.916417500000279</v>
      </c>
      <c r="M68" s="89">
        <f t="shared" si="152"/>
        <v>13.093904250000492</v>
      </c>
      <c r="N68" s="89">
        <f t="shared" si="152"/>
        <v>13.460532749999459</v>
      </c>
      <c r="O68" s="89">
        <f t="shared" si="152"/>
        <v>12.936341250000339</v>
      </c>
      <c r="P68" s="89">
        <f t="shared" si="152"/>
        <v>11.298813749999624</v>
      </c>
      <c r="Q68" s="89">
        <f t="shared" si="152"/>
        <v>7.8561000000206604E-2</v>
      </c>
      <c r="R68" s="89">
        <f t="shared" si="152"/>
        <v>0</v>
      </c>
    </row>
    <row r="69" spans="1:18">
      <c r="A69" s="154"/>
      <c r="B69" s="128" t="s">
        <v>40</v>
      </c>
      <c r="C69" s="128">
        <v>19.181213264685965</v>
      </c>
      <c r="D69" s="89">
        <f t="shared" si="151"/>
        <v>93.086171200000081</v>
      </c>
      <c r="E69" s="89">
        <f t="shared" si="152"/>
        <v>14.9559981499999</v>
      </c>
      <c r="F69" s="89">
        <f t="shared" si="152"/>
        <v>13.706694650000173</v>
      </c>
      <c r="G69" s="89">
        <f t="shared" si="152"/>
        <v>13.003312300000161</v>
      </c>
      <c r="H69" s="89">
        <f t="shared" si="152"/>
        <v>13.180555199999588</v>
      </c>
      <c r="I69" s="89">
        <f t="shared" si="152"/>
        <v>12.574482399999624</v>
      </c>
      <c r="J69" s="89">
        <f t="shared" si="152"/>
        <v>10.369261500000647</v>
      </c>
      <c r="K69" s="89">
        <f t="shared" si="152"/>
        <v>11.236656499999469</v>
      </c>
      <c r="L69" s="89">
        <f t="shared" si="152"/>
        <v>11.604273500000261</v>
      </c>
      <c r="M69" s="89">
        <f t="shared" si="152"/>
        <v>11.763729850000459</v>
      </c>
      <c r="N69" s="89">
        <f t="shared" si="152"/>
        <v>12.093113549999487</v>
      </c>
      <c r="O69" s="89">
        <f t="shared" si="152"/>
        <v>11.622173250000316</v>
      </c>
      <c r="P69" s="89">
        <f t="shared" si="152"/>
        <v>10.150997749999647</v>
      </c>
      <c r="Q69" s="89">
        <f t="shared" si="152"/>
        <v>7.0580200000222248E-2</v>
      </c>
      <c r="R69" s="89">
        <f t="shared" si="152"/>
        <v>0</v>
      </c>
    </row>
    <row r="70" spans="1:18">
      <c r="A70" s="155"/>
      <c r="B70" s="127" t="s">
        <v>44</v>
      </c>
      <c r="C70" s="127"/>
      <c r="D70" s="91">
        <f t="shared" si="151"/>
        <v>328.92640000000029</v>
      </c>
      <c r="E70" s="91">
        <f t="shared" si="152"/>
        <v>52.848049999999603</v>
      </c>
      <c r="F70" s="91">
        <f t="shared" si="152"/>
        <v>48.43355000000065</v>
      </c>
      <c r="G70" s="91">
        <f t="shared" si="152"/>
        <v>45.948100000000579</v>
      </c>
      <c r="H70" s="91">
        <f t="shared" si="152"/>
        <v>46.574399999998548</v>
      </c>
      <c r="I70" s="91">
        <f t="shared" si="152"/>
        <v>44.432799999998679</v>
      </c>
      <c r="J70" s="91">
        <f t="shared" si="152"/>
        <v>36.640500000002248</v>
      </c>
      <c r="K70" s="91">
        <f t="shared" si="152"/>
        <v>39.70549999999821</v>
      </c>
      <c r="L70" s="91">
        <f t="shared" si="152"/>
        <v>41.004500000000917</v>
      </c>
      <c r="M70" s="91">
        <f t="shared" si="152"/>
        <v>41.567950000001474</v>
      </c>
      <c r="N70" s="91">
        <f t="shared" si="152"/>
        <v>42.731849999998303</v>
      </c>
      <c r="O70" s="91">
        <f t="shared" si="152"/>
        <v>41.06775000000107</v>
      </c>
      <c r="P70" s="91">
        <f t="shared" si="152"/>
        <v>35.869249999998715</v>
      </c>
      <c r="Q70" s="91">
        <f t="shared" si="152"/>
        <v>0.24940000000083273</v>
      </c>
      <c r="R70" s="91">
        <f t="shared" si="152"/>
        <v>0</v>
      </c>
    </row>
    <row r="73" spans="1:18">
      <c r="A73" s="152" t="s">
        <v>41</v>
      </c>
      <c r="B73" s="130" t="s">
        <v>55</v>
      </c>
      <c r="C73" s="131">
        <v>2021</v>
      </c>
      <c r="D73" s="130">
        <v>2021</v>
      </c>
      <c r="E73" s="130">
        <f t="shared" ref="E73" si="153">D73+1</f>
        <v>2022</v>
      </c>
      <c r="F73" s="130">
        <f t="shared" ref="F73" si="154">E73+1</f>
        <v>2023</v>
      </c>
      <c r="G73" s="130">
        <f t="shared" ref="G73" si="155">F73+1</f>
        <v>2024</v>
      </c>
      <c r="H73" s="130">
        <f t="shared" ref="H73" si="156">G73+1</f>
        <v>2025</v>
      </c>
      <c r="I73" s="130">
        <f t="shared" ref="I73" si="157">H73+1</f>
        <v>2026</v>
      </c>
      <c r="J73" s="130">
        <f t="shared" ref="J73" si="158">I73+1</f>
        <v>2027</v>
      </c>
      <c r="K73" s="130">
        <f t="shared" ref="K73" si="159">J73+1</f>
        <v>2028</v>
      </c>
      <c r="L73" s="130">
        <f t="shared" ref="L73" si="160">K73+1</f>
        <v>2029</v>
      </c>
      <c r="M73" s="130">
        <f t="shared" ref="M73" si="161">L73+1</f>
        <v>2030</v>
      </c>
      <c r="N73" s="130">
        <f t="shared" ref="N73" si="162">M73+1</f>
        <v>2031</v>
      </c>
      <c r="O73" s="130">
        <f t="shared" ref="O73" si="163">N73+1</f>
        <v>2032</v>
      </c>
      <c r="P73" s="130">
        <f t="shared" ref="P73" si="164">O73+1</f>
        <v>2033</v>
      </c>
      <c r="Q73" s="130">
        <f t="shared" ref="Q73" si="165">P73+1</f>
        <v>2034</v>
      </c>
      <c r="R73" s="130">
        <f t="shared" ref="R73" si="166">Q73+1</f>
        <v>2035</v>
      </c>
    </row>
    <row r="74" spans="1:18">
      <c r="A74" s="152"/>
      <c r="B74" s="128" t="s">
        <v>36</v>
      </c>
      <c r="C74" s="128">
        <v>11.708892317115783</v>
      </c>
      <c r="D74" s="129">
        <f>D80/100*17.3</f>
        <v>32.178000000000004</v>
      </c>
      <c r="E74" s="129">
        <f t="shared" ref="E74:R74" si="167">E80/100*17.3</f>
        <v>37.714000000000006</v>
      </c>
      <c r="F74" s="129">
        <f t="shared" si="167"/>
        <v>42.731000000000002</v>
      </c>
      <c r="G74" s="129">
        <f t="shared" si="167"/>
        <v>47.228999999999999</v>
      </c>
      <c r="H74" s="129">
        <f t="shared" si="167"/>
        <v>51.900000000000006</v>
      </c>
      <c r="I74" s="129">
        <f t="shared" si="167"/>
        <v>56.397999999999996</v>
      </c>
      <c r="J74" s="129">
        <f t="shared" si="167"/>
        <v>59.512</v>
      </c>
      <c r="K74" s="129">
        <f t="shared" si="167"/>
        <v>63.318000000000005</v>
      </c>
      <c r="L74" s="129">
        <f t="shared" si="167"/>
        <v>67.123999999999995</v>
      </c>
      <c r="M74" s="129">
        <f t="shared" si="167"/>
        <v>71.103000000000009</v>
      </c>
      <c r="N74" s="129">
        <f t="shared" si="167"/>
        <v>75.254999999999995</v>
      </c>
      <c r="O74" s="129">
        <f t="shared" si="167"/>
        <v>79.061000000000007</v>
      </c>
      <c r="P74" s="129">
        <f t="shared" si="167"/>
        <v>82.521000000000001</v>
      </c>
      <c r="Q74" s="129">
        <f t="shared" si="167"/>
        <v>79.061000000000007</v>
      </c>
      <c r="R74" s="129">
        <f t="shared" si="167"/>
        <v>79.061000000000007</v>
      </c>
    </row>
    <row r="75" spans="1:18">
      <c r="A75" s="152"/>
      <c r="B75" s="128" t="s">
        <v>37</v>
      </c>
      <c r="C75" s="128">
        <v>4.6677222949944408</v>
      </c>
      <c r="D75" s="129">
        <f>D80/100*6.9</f>
        <v>12.834000000000001</v>
      </c>
      <c r="E75" s="129">
        <f t="shared" ref="E75:R75" si="168">E80/100*6.9</f>
        <v>15.042000000000002</v>
      </c>
      <c r="F75" s="129">
        <f t="shared" si="168"/>
        <v>17.043000000000003</v>
      </c>
      <c r="G75" s="129">
        <f t="shared" si="168"/>
        <v>18.837</v>
      </c>
      <c r="H75" s="129">
        <f t="shared" si="168"/>
        <v>20.700000000000003</v>
      </c>
      <c r="I75" s="129">
        <f t="shared" si="168"/>
        <v>22.494</v>
      </c>
      <c r="J75" s="129">
        <f t="shared" si="168"/>
        <v>23.736000000000001</v>
      </c>
      <c r="K75" s="129">
        <f t="shared" si="168"/>
        <v>25.254000000000001</v>
      </c>
      <c r="L75" s="129">
        <f t="shared" si="168"/>
        <v>26.772000000000002</v>
      </c>
      <c r="M75" s="129">
        <f t="shared" si="168"/>
        <v>28.359000000000005</v>
      </c>
      <c r="N75" s="129">
        <f t="shared" si="168"/>
        <v>30.015000000000001</v>
      </c>
      <c r="O75" s="129">
        <f t="shared" si="168"/>
        <v>31.533000000000005</v>
      </c>
      <c r="P75" s="129">
        <f t="shared" si="168"/>
        <v>32.912999999999997</v>
      </c>
      <c r="Q75" s="129">
        <f t="shared" si="168"/>
        <v>31.533000000000005</v>
      </c>
      <c r="R75" s="129">
        <f t="shared" si="168"/>
        <v>31.533000000000005</v>
      </c>
    </row>
    <row r="76" spans="1:18">
      <c r="A76" s="152"/>
      <c r="B76" s="128" t="s">
        <v>38</v>
      </c>
      <c r="C76" s="128">
        <v>10.843652244660859</v>
      </c>
      <c r="D76" s="129">
        <f>D80/100*16</f>
        <v>29.76</v>
      </c>
      <c r="E76" s="129">
        <f t="shared" ref="E76:R76" si="169">E80/100*16</f>
        <v>34.880000000000003</v>
      </c>
      <c r="F76" s="129">
        <f t="shared" si="169"/>
        <v>39.520000000000003</v>
      </c>
      <c r="G76" s="129">
        <f t="shared" si="169"/>
        <v>43.68</v>
      </c>
      <c r="H76" s="129">
        <f t="shared" si="169"/>
        <v>48</v>
      </c>
      <c r="I76" s="129">
        <f t="shared" si="169"/>
        <v>52.16</v>
      </c>
      <c r="J76" s="129">
        <f t="shared" si="169"/>
        <v>55.04</v>
      </c>
      <c r="K76" s="129">
        <f t="shared" si="169"/>
        <v>58.56</v>
      </c>
      <c r="L76" s="129">
        <f t="shared" si="169"/>
        <v>62.08</v>
      </c>
      <c r="M76" s="129">
        <f t="shared" si="169"/>
        <v>65.760000000000005</v>
      </c>
      <c r="N76" s="129">
        <f t="shared" si="169"/>
        <v>69.599999999999994</v>
      </c>
      <c r="O76" s="129">
        <f t="shared" si="169"/>
        <v>73.12</v>
      </c>
      <c r="P76" s="129">
        <f t="shared" si="169"/>
        <v>76.319999999999993</v>
      </c>
      <c r="Q76" s="129">
        <f t="shared" si="169"/>
        <v>73.12</v>
      </c>
      <c r="R76" s="129">
        <f t="shared" si="169"/>
        <v>73.12</v>
      </c>
    </row>
    <row r="77" spans="1:18">
      <c r="A77" s="152"/>
      <c r="B77" s="128" t="s">
        <v>39</v>
      </c>
      <c r="C77" s="128">
        <v>21.820742100764988</v>
      </c>
      <c r="D77" s="129">
        <f>D80/100*31.5</f>
        <v>58.59</v>
      </c>
      <c r="E77" s="129">
        <f t="shared" ref="E77:R77" si="170">E80/100*31.5</f>
        <v>68.67</v>
      </c>
      <c r="F77" s="129">
        <f t="shared" si="170"/>
        <v>77.805000000000007</v>
      </c>
      <c r="G77" s="129">
        <f t="shared" si="170"/>
        <v>85.995000000000005</v>
      </c>
      <c r="H77" s="129">
        <f t="shared" si="170"/>
        <v>94.5</v>
      </c>
      <c r="I77" s="129">
        <f t="shared" si="170"/>
        <v>102.69</v>
      </c>
      <c r="J77" s="129">
        <f t="shared" si="170"/>
        <v>108.36</v>
      </c>
      <c r="K77" s="129">
        <f t="shared" si="170"/>
        <v>115.29</v>
      </c>
      <c r="L77" s="129">
        <f t="shared" si="170"/>
        <v>122.22</v>
      </c>
      <c r="M77" s="129">
        <f t="shared" si="170"/>
        <v>129.465</v>
      </c>
      <c r="N77" s="129">
        <f t="shared" si="170"/>
        <v>137.02499999999998</v>
      </c>
      <c r="O77" s="129">
        <f t="shared" si="170"/>
        <v>143.95500000000001</v>
      </c>
      <c r="P77" s="129">
        <f t="shared" si="170"/>
        <v>150.255</v>
      </c>
      <c r="Q77" s="129">
        <f t="shared" si="170"/>
        <v>143.95500000000001</v>
      </c>
      <c r="R77" s="129">
        <f t="shared" si="170"/>
        <v>143.95500000000001</v>
      </c>
    </row>
    <row r="78" spans="1:18">
      <c r="A78" s="152"/>
      <c r="B78" s="128" t="s">
        <v>40</v>
      </c>
      <c r="C78" s="128">
        <v>19.181213264685965</v>
      </c>
      <c r="D78" s="146">
        <f>D80/100*28.3</f>
        <v>52.638000000000005</v>
      </c>
      <c r="E78" s="146">
        <f t="shared" ref="E78:R78" si="171">E80/100*28.3</f>
        <v>61.694000000000003</v>
      </c>
      <c r="F78" s="146">
        <f t="shared" si="171"/>
        <v>69.90100000000001</v>
      </c>
      <c r="G78" s="146">
        <f t="shared" si="171"/>
        <v>77.259</v>
      </c>
      <c r="H78" s="146">
        <f t="shared" si="171"/>
        <v>84.9</v>
      </c>
      <c r="I78" s="146">
        <f t="shared" si="171"/>
        <v>92.257999999999996</v>
      </c>
      <c r="J78" s="146">
        <f t="shared" si="171"/>
        <v>97.352000000000004</v>
      </c>
      <c r="K78" s="146">
        <f t="shared" si="171"/>
        <v>103.578</v>
      </c>
      <c r="L78" s="146">
        <f t="shared" si="171"/>
        <v>109.804</v>
      </c>
      <c r="M78" s="146">
        <f t="shared" si="171"/>
        <v>116.31300000000002</v>
      </c>
      <c r="N78" s="146">
        <f t="shared" si="171"/>
        <v>123.10499999999999</v>
      </c>
      <c r="O78" s="146">
        <f t="shared" si="171"/>
        <v>129.33100000000002</v>
      </c>
      <c r="P78" s="146">
        <f t="shared" si="171"/>
        <v>134.99099999999999</v>
      </c>
      <c r="Q78" s="146">
        <f t="shared" si="171"/>
        <v>129.33100000000002</v>
      </c>
      <c r="R78" s="146">
        <f t="shared" si="171"/>
        <v>129.33100000000002</v>
      </c>
    </row>
    <row r="79" spans="1:18" s="87" customFormat="1">
      <c r="A79" s="152"/>
      <c r="B79" s="127" t="s">
        <v>44</v>
      </c>
      <c r="C79" s="127"/>
      <c r="D79" s="91">
        <f>SUM(D74:D78)</f>
        <v>186.00000000000003</v>
      </c>
      <c r="E79" s="91">
        <f t="shared" ref="E79:R79" si="172">SUM(E74:E78)</f>
        <v>218</v>
      </c>
      <c r="F79" s="91">
        <f t="shared" si="172"/>
        <v>247.00000000000003</v>
      </c>
      <c r="G79" s="91">
        <f t="shared" si="172"/>
        <v>273</v>
      </c>
      <c r="H79" s="91">
        <f t="shared" si="172"/>
        <v>300</v>
      </c>
      <c r="I79" s="91">
        <f t="shared" si="172"/>
        <v>326</v>
      </c>
      <c r="J79" s="91">
        <f t="shared" si="172"/>
        <v>344</v>
      </c>
      <c r="K79" s="91">
        <f t="shared" si="172"/>
        <v>366</v>
      </c>
      <c r="L79" s="91">
        <f t="shared" si="172"/>
        <v>388</v>
      </c>
      <c r="M79" s="91">
        <f t="shared" si="172"/>
        <v>411</v>
      </c>
      <c r="N79" s="91">
        <f t="shared" si="172"/>
        <v>435</v>
      </c>
      <c r="O79" s="91">
        <f t="shared" si="172"/>
        <v>457</v>
      </c>
      <c r="P79" s="91">
        <f t="shared" si="172"/>
        <v>477</v>
      </c>
      <c r="Q79" s="91">
        <f t="shared" si="172"/>
        <v>457</v>
      </c>
      <c r="R79" s="91">
        <f t="shared" si="172"/>
        <v>457</v>
      </c>
    </row>
    <row r="80" spans="1:18" hidden="1">
      <c r="D80">
        <v>186</v>
      </c>
      <c r="E80">
        <v>218</v>
      </c>
      <c r="F80">
        <v>247</v>
      </c>
      <c r="G80">
        <v>273</v>
      </c>
      <c r="H80">
        <v>300</v>
      </c>
      <c r="I80">
        <v>326</v>
      </c>
      <c r="J80">
        <v>344</v>
      </c>
      <c r="K80">
        <v>366</v>
      </c>
      <c r="L80">
        <v>388</v>
      </c>
      <c r="M80">
        <v>411</v>
      </c>
      <c r="N80">
        <v>435</v>
      </c>
      <c r="O80">
        <v>457</v>
      </c>
      <c r="P80">
        <v>477</v>
      </c>
      <c r="Q80">
        <v>457</v>
      </c>
      <c r="R80">
        <v>457</v>
      </c>
    </row>
    <row r="83" spans="1:18">
      <c r="A83" s="153" t="s">
        <v>42</v>
      </c>
      <c r="B83" s="130" t="s">
        <v>55</v>
      </c>
      <c r="C83" s="131">
        <v>2021</v>
      </c>
      <c r="D83" s="130">
        <v>2021</v>
      </c>
      <c r="E83" s="130">
        <f t="shared" ref="E83" si="173">D83+1</f>
        <v>2022</v>
      </c>
      <c r="F83" s="130">
        <f t="shared" ref="F83" si="174">E83+1</f>
        <v>2023</v>
      </c>
      <c r="G83" s="130">
        <f t="shared" ref="G83" si="175">F83+1</f>
        <v>2024</v>
      </c>
      <c r="H83" s="130">
        <f t="shared" ref="H83" si="176">G83+1</f>
        <v>2025</v>
      </c>
      <c r="I83" s="130">
        <f t="shared" ref="I83" si="177">H83+1</f>
        <v>2026</v>
      </c>
      <c r="J83" s="130">
        <f t="shared" ref="J83" si="178">I83+1</f>
        <v>2027</v>
      </c>
      <c r="K83" s="130">
        <f t="shared" ref="K83" si="179">J83+1</f>
        <v>2028</v>
      </c>
      <c r="L83" s="130">
        <f t="shared" ref="L83" si="180">K83+1</f>
        <v>2029</v>
      </c>
      <c r="M83" s="130">
        <f t="shared" ref="M83" si="181">L83+1</f>
        <v>2030</v>
      </c>
      <c r="N83" s="130">
        <f t="shared" ref="N83" si="182">M83+1</f>
        <v>2031</v>
      </c>
      <c r="O83" s="130">
        <f t="shared" ref="O83" si="183">N83+1</f>
        <v>2032</v>
      </c>
      <c r="P83" s="130">
        <f t="shared" ref="P83" si="184">O83+1</f>
        <v>2033</v>
      </c>
      <c r="Q83" s="130">
        <f t="shared" ref="Q83" si="185">P83+1</f>
        <v>2034</v>
      </c>
      <c r="R83" s="130">
        <f t="shared" ref="R83" si="186">Q83+1</f>
        <v>2035</v>
      </c>
    </row>
    <row r="84" spans="1:18">
      <c r="A84" s="154"/>
      <c r="B84" s="128" t="s">
        <v>36</v>
      </c>
      <c r="C84" s="128">
        <v>11.708892317115783</v>
      </c>
      <c r="D84" s="129">
        <f>D74</f>
        <v>32.178000000000004</v>
      </c>
      <c r="E84" s="129">
        <f>E74-D74</f>
        <v>5.5360000000000014</v>
      </c>
      <c r="F84" s="129">
        <f t="shared" ref="F84:R84" si="187">F74-E74</f>
        <v>5.0169999999999959</v>
      </c>
      <c r="G84" s="129">
        <f t="shared" si="187"/>
        <v>4.4979999999999976</v>
      </c>
      <c r="H84" s="129">
        <f t="shared" si="187"/>
        <v>4.6710000000000065</v>
      </c>
      <c r="I84" s="129">
        <f t="shared" si="187"/>
        <v>4.4979999999999905</v>
      </c>
      <c r="J84" s="129">
        <f t="shared" si="187"/>
        <v>3.1140000000000043</v>
      </c>
      <c r="K84" s="129">
        <f t="shared" si="187"/>
        <v>3.8060000000000045</v>
      </c>
      <c r="L84" s="129">
        <f t="shared" si="187"/>
        <v>3.8059999999999903</v>
      </c>
      <c r="M84" s="129">
        <f t="shared" si="187"/>
        <v>3.9790000000000134</v>
      </c>
      <c r="N84" s="129">
        <f t="shared" si="187"/>
        <v>4.1519999999999868</v>
      </c>
      <c r="O84" s="129">
        <f t="shared" si="187"/>
        <v>3.8060000000000116</v>
      </c>
      <c r="P84" s="129">
        <f t="shared" si="187"/>
        <v>3.4599999999999937</v>
      </c>
      <c r="Q84" s="129">
        <f t="shared" si="187"/>
        <v>-3.4599999999999937</v>
      </c>
      <c r="R84" s="129">
        <f t="shared" si="187"/>
        <v>0</v>
      </c>
    </row>
    <row r="85" spans="1:18">
      <c r="A85" s="154"/>
      <c r="B85" s="128" t="s">
        <v>37</v>
      </c>
      <c r="C85" s="128">
        <v>4.6677222949944408</v>
      </c>
      <c r="D85" s="129">
        <f t="shared" ref="D85:D89" si="188">D75</f>
        <v>12.834000000000001</v>
      </c>
      <c r="E85" s="129">
        <f t="shared" ref="E85:R88" si="189">E75-D75</f>
        <v>2.2080000000000002</v>
      </c>
      <c r="F85" s="129">
        <f t="shared" si="189"/>
        <v>2.0010000000000012</v>
      </c>
      <c r="G85" s="129">
        <f t="shared" si="189"/>
        <v>1.7939999999999969</v>
      </c>
      <c r="H85" s="129">
        <f t="shared" si="189"/>
        <v>1.8630000000000031</v>
      </c>
      <c r="I85" s="129">
        <f t="shared" si="189"/>
        <v>1.7939999999999969</v>
      </c>
      <c r="J85" s="129">
        <f t="shared" si="189"/>
        <v>1.2420000000000009</v>
      </c>
      <c r="K85" s="129">
        <f t="shared" si="189"/>
        <v>1.5180000000000007</v>
      </c>
      <c r="L85" s="129">
        <f t="shared" si="189"/>
        <v>1.5180000000000007</v>
      </c>
      <c r="M85" s="129">
        <f t="shared" si="189"/>
        <v>1.5870000000000033</v>
      </c>
      <c r="N85" s="129">
        <f t="shared" si="189"/>
        <v>1.6559999999999953</v>
      </c>
      <c r="O85" s="129">
        <f t="shared" si="189"/>
        <v>1.5180000000000042</v>
      </c>
      <c r="P85" s="129">
        <f t="shared" si="189"/>
        <v>1.3799999999999919</v>
      </c>
      <c r="Q85" s="129">
        <f t="shared" si="189"/>
        <v>-1.3799999999999919</v>
      </c>
      <c r="R85" s="129">
        <f t="shared" si="189"/>
        <v>0</v>
      </c>
    </row>
    <row r="86" spans="1:18">
      <c r="A86" s="154"/>
      <c r="B86" s="128" t="s">
        <v>38</v>
      </c>
      <c r="C86" s="128">
        <v>10.843652244660859</v>
      </c>
      <c r="D86" s="129">
        <f t="shared" si="188"/>
        <v>29.76</v>
      </c>
      <c r="E86" s="129">
        <f t="shared" si="189"/>
        <v>5.120000000000001</v>
      </c>
      <c r="F86" s="129">
        <f t="shared" si="189"/>
        <v>4.6400000000000006</v>
      </c>
      <c r="G86" s="129">
        <f t="shared" si="189"/>
        <v>4.1599999999999966</v>
      </c>
      <c r="H86" s="129">
        <f t="shared" si="189"/>
        <v>4.32</v>
      </c>
      <c r="I86" s="129">
        <f t="shared" si="189"/>
        <v>4.1599999999999966</v>
      </c>
      <c r="J86" s="129">
        <f t="shared" si="189"/>
        <v>2.8800000000000026</v>
      </c>
      <c r="K86" s="129">
        <f t="shared" si="189"/>
        <v>3.5200000000000031</v>
      </c>
      <c r="L86" s="129">
        <f t="shared" si="189"/>
        <v>3.519999999999996</v>
      </c>
      <c r="M86" s="129">
        <f t="shared" si="189"/>
        <v>3.6800000000000068</v>
      </c>
      <c r="N86" s="129">
        <f t="shared" si="189"/>
        <v>3.8399999999999892</v>
      </c>
      <c r="O86" s="129">
        <f t="shared" si="189"/>
        <v>3.5200000000000102</v>
      </c>
      <c r="P86" s="129">
        <f t="shared" si="189"/>
        <v>3.1999999999999886</v>
      </c>
      <c r="Q86" s="129">
        <f t="shared" si="189"/>
        <v>-3.1999999999999886</v>
      </c>
      <c r="R86" s="129">
        <f t="shared" si="189"/>
        <v>0</v>
      </c>
    </row>
    <row r="87" spans="1:18">
      <c r="A87" s="154"/>
      <c r="B87" s="128" t="s">
        <v>39</v>
      </c>
      <c r="C87" s="128">
        <v>21.820742100764988</v>
      </c>
      <c r="D87" s="129">
        <f t="shared" si="188"/>
        <v>58.59</v>
      </c>
      <c r="E87" s="129">
        <f t="shared" si="189"/>
        <v>10.079999999999998</v>
      </c>
      <c r="F87" s="129">
        <f t="shared" si="189"/>
        <v>9.1350000000000051</v>
      </c>
      <c r="G87" s="129">
        <f t="shared" si="189"/>
        <v>8.1899999999999977</v>
      </c>
      <c r="H87" s="129">
        <f t="shared" si="189"/>
        <v>8.5049999999999955</v>
      </c>
      <c r="I87" s="129">
        <f t="shared" si="189"/>
        <v>8.1899999999999977</v>
      </c>
      <c r="J87" s="129">
        <f t="shared" si="189"/>
        <v>5.6700000000000017</v>
      </c>
      <c r="K87" s="129">
        <f t="shared" si="189"/>
        <v>6.9300000000000068</v>
      </c>
      <c r="L87" s="129">
        <f t="shared" si="189"/>
        <v>6.9299999999999926</v>
      </c>
      <c r="M87" s="129">
        <f t="shared" si="189"/>
        <v>7.2450000000000045</v>
      </c>
      <c r="N87" s="129">
        <f t="shared" si="189"/>
        <v>7.5599999999999739</v>
      </c>
      <c r="O87" s="129">
        <f t="shared" si="189"/>
        <v>6.9300000000000352</v>
      </c>
      <c r="P87" s="129">
        <f t="shared" si="189"/>
        <v>6.2999999999999829</v>
      </c>
      <c r="Q87" s="129">
        <f t="shared" si="189"/>
        <v>-6.2999999999999829</v>
      </c>
      <c r="R87" s="129">
        <f t="shared" si="189"/>
        <v>0</v>
      </c>
    </row>
    <row r="88" spans="1:18">
      <c r="A88" s="154"/>
      <c r="B88" s="128" t="s">
        <v>40</v>
      </c>
      <c r="C88" s="128">
        <v>19.181213264685965</v>
      </c>
      <c r="D88" s="129">
        <f t="shared" si="188"/>
        <v>52.638000000000005</v>
      </c>
      <c r="E88" s="129">
        <f t="shared" si="189"/>
        <v>9.0559999999999974</v>
      </c>
      <c r="F88" s="129">
        <f t="shared" si="189"/>
        <v>8.2070000000000078</v>
      </c>
      <c r="G88" s="129">
        <f t="shared" si="189"/>
        <v>7.3579999999999899</v>
      </c>
      <c r="H88" s="129">
        <f t="shared" si="189"/>
        <v>7.6410000000000053</v>
      </c>
      <c r="I88" s="129">
        <f t="shared" si="189"/>
        <v>7.3579999999999899</v>
      </c>
      <c r="J88" s="129">
        <f t="shared" si="189"/>
        <v>5.0940000000000083</v>
      </c>
      <c r="K88" s="129">
        <f t="shared" si="189"/>
        <v>6.2259999999999991</v>
      </c>
      <c r="L88" s="129">
        <f t="shared" si="189"/>
        <v>6.2259999999999991</v>
      </c>
      <c r="M88" s="129">
        <f t="shared" si="189"/>
        <v>6.5090000000000146</v>
      </c>
      <c r="N88" s="129">
        <f t="shared" si="189"/>
        <v>6.7919999999999732</v>
      </c>
      <c r="O88" s="129">
        <f t="shared" si="189"/>
        <v>6.2260000000000275</v>
      </c>
      <c r="P88" s="129">
        <f t="shared" si="189"/>
        <v>5.6599999999999682</v>
      </c>
      <c r="Q88" s="129">
        <f t="shared" si="189"/>
        <v>-5.6599999999999682</v>
      </c>
      <c r="R88" s="129">
        <f t="shared" si="189"/>
        <v>0</v>
      </c>
    </row>
    <row r="89" spans="1:18">
      <c r="A89" s="155"/>
      <c r="B89" s="127" t="s">
        <v>44</v>
      </c>
      <c r="C89" s="127"/>
      <c r="D89" s="133">
        <f t="shared" si="188"/>
        <v>186.00000000000003</v>
      </c>
      <c r="E89" s="132">
        <f>SUM(E84:E88)</f>
        <v>32</v>
      </c>
      <c r="F89" s="132">
        <f t="shared" ref="F89:R89" si="190">SUM(F84:F88)</f>
        <v>29.000000000000011</v>
      </c>
      <c r="G89" s="132">
        <f t="shared" si="190"/>
        <v>25.999999999999979</v>
      </c>
      <c r="H89" s="132">
        <f t="shared" si="190"/>
        <v>27.000000000000011</v>
      </c>
      <c r="I89" s="132">
        <f t="shared" si="190"/>
        <v>25.999999999999972</v>
      </c>
      <c r="J89" s="132">
        <f t="shared" si="190"/>
        <v>18.000000000000018</v>
      </c>
      <c r="K89" s="132">
        <f t="shared" si="190"/>
        <v>22.000000000000014</v>
      </c>
      <c r="L89" s="132">
        <f t="shared" si="190"/>
        <v>21.999999999999979</v>
      </c>
      <c r="M89" s="132">
        <f t="shared" si="190"/>
        <v>23.000000000000043</v>
      </c>
      <c r="N89" s="132">
        <f t="shared" si="190"/>
        <v>23.999999999999918</v>
      </c>
      <c r="O89" s="132">
        <f t="shared" si="190"/>
        <v>22.000000000000089</v>
      </c>
      <c r="P89" s="132">
        <f t="shared" si="190"/>
        <v>19.999999999999925</v>
      </c>
      <c r="Q89" s="132">
        <f t="shared" si="190"/>
        <v>-19.999999999999925</v>
      </c>
      <c r="R89" s="132">
        <f t="shared" si="190"/>
        <v>0</v>
      </c>
    </row>
  </sheetData>
  <mergeCells count="10">
    <mergeCell ref="A55:A61"/>
    <mergeCell ref="A64:A70"/>
    <mergeCell ref="A83:A89"/>
    <mergeCell ref="A73:A79"/>
    <mergeCell ref="A4:A10"/>
    <mergeCell ref="A20:A26"/>
    <mergeCell ref="A12:A18"/>
    <mergeCell ref="A29:A35"/>
    <mergeCell ref="A38:A44"/>
    <mergeCell ref="A46:A5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4"/>
  <sheetViews>
    <sheetView workbookViewId="0">
      <selection activeCell="K20" sqref="K20"/>
    </sheetView>
  </sheetViews>
  <sheetFormatPr defaultRowHeight="15"/>
  <cols>
    <col min="1" max="1" width="12.140625" style="136" customWidth="1"/>
    <col min="2" max="2" width="24.42578125" style="143" customWidth="1"/>
    <col min="3" max="17" width="5.85546875" customWidth="1"/>
  </cols>
  <sheetData>
    <row r="1" spans="1:17" ht="20.25">
      <c r="A1" s="121" t="s">
        <v>53</v>
      </c>
    </row>
    <row r="3" spans="1:17" s="87" customFormat="1" ht="30">
      <c r="A3" s="160" t="s">
        <v>41</v>
      </c>
      <c r="B3" s="140" t="s">
        <v>48</v>
      </c>
      <c r="C3" s="134">
        <v>2021</v>
      </c>
      <c r="D3" s="134">
        <v>2022</v>
      </c>
      <c r="E3" s="134">
        <v>2023</v>
      </c>
      <c r="F3" s="134">
        <v>2024</v>
      </c>
      <c r="G3" s="134">
        <v>2025</v>
      </c>
      <c r="H3" s="134">
        <v>2026</v>
      </c>
      <c r="I3" s="134">
        <v>2027</v>
      </c>
      <c r="J3" s="134">
        <v>2028</v>
      </c>
      <c r="K3" s="134">
        <v>2029</v>
      </c>
      <c r="L3" s="134">
        <v>2030</v>
      </c>
      <c r="M3" s="134">
        <v>2031</v>
      </c>
      <c r="N3" s="134">
        <v>2032</v>
      </c>
      <c r="O3" s="134">
        <v>2033</v>
      </c>
      <c r="P3" s="134">
        <v>2034</v>
      </c>
      <c r="Q3" s="134">
        <v>2035</v>
      </c>
    </row>
    <row r="4" spans="1:17">
      <c r="A4" s="161"/>
      <c r="B4" s="141" t="s">
        <v>36</v>
      </c>
      <c r="C4" s="89">
        <v>19</v>
      </c>
      <c r="D4" s="89">
        <v>37</v>
      </c>
      <c r="E4" s="89">
        <v>37</v>
      </c>
      <c r="F4" s="89">
        <v>37</v>
      </c>
      <c r="G4" s="89">
        <v>37</v>
      </c>
      <c r="H4" s="89">
        <v>37</v>
      </c>
      <c r="I4" s="89">
        <v>38</v>
      </c>
      <c r="J4" s="89">
        <v>38</v>
      </c>
      <c r="K4" s="89">
        <v>38</v>
      </c>
      <c r="L4" s="89">
        <v>38</v>
      </c>
      <c r="M4" s="89">
        <v>38</v>
      </c>
      <c r="N4" s="89">
        <v>39</v>
      </c>
      <c r="O4" s="89">
        <v>39</v>
      </c>
      <c r="P4" s="89">
        <v>41</v>
      </c>
      <c r="Q4" s="89">
        <v>41</v>
      </c>
    </row>
    <row r="5" spans="1:17">
      <c r="A5" s="161"/>
      <c r="B5" s="141" t="s">
        <v>37</v>
      </c>
      <c r="C5" s="89">
        <v>8</v>
      </c>
      <c r="D5" s="89">
        <v>15</v>
      </c>
      <c r="E5" s="89">
        <v>15</v>
      </c>
      <c r="F5" s="89">
        <v>15</v>
      </c>
      <c r="G5" s="89">
        <v>15</v>
      </c>
      <c r="H5" s="89">
        <v>15</v>
      </c>
      <c r="I5" s="89">
        <f t="shared" ref="I5" si="0">I9/100*6.9</f>
        <v>15.042000000000002</v>
      </c>
      <c r="J5" s="89">
        <v>15</v>
      </c>
      <c r="K5" s="89">
        <v>15</v>
      </c>
      <c r="L5" s="89">
        <v>15</v>
      </c>
      <c r="M5" s="89">
        <v>15</v>
      </c>
      <c r="N5" s="89">
        <v>15</v>
      </c>
      <c r="O5" s="89">
        <v>15</v>
      </c>
      <c r="P5" s="89">
        <v>16</v>
      </c>
      <c r="Q5" s="89">
        <v>16</v>
      </c>
    </row>
    <row r="6" spans="1:17">
      <c r="A6" s="161"/>
      <c r="B6" s="141" t="s">
        <v>38</v>
      </c>
      <c r="C6" s="89">
        <v>18</v>
      </c>
      <c r="D6" s="89">
        <v>34</v>
      </c>
      <c r="E6" s="89">
        <v>34</v>
      </c>
      <c r="F6" s="89">
        <v>34</v>
      </c>
      <c r="G6" s="89">
        <v>35</v>
      </c>
      <c r="H6" s="89">
        <v>35</v>
      </c>
      <c r="I6" s="89">
        <v>35</v>
      </c>
      <c r="J6" s="89">
        <f t="shared" ref="J6" si="1">J9/100*16</f>
        <v>35.04</v>
      </c>
      <c r="K6" s="89">
        <v>35</v>
      </c>
      <c r="L6" s="89">
        <v>35</v>
      </c>
      <c r="M6" s="89">
        <v>36</v>
      </c>
      <c r="N6" s="89">
        <v>36</v>
      </c>
      <c r="O6" s="89">
        <v>36</v>
      </c>
      <c r="P6" s="89">
        <v>38</v>
      </c>
      <c r="Q6" s="89">
        <v>38</v>
      </c>
    </row>
    <row r="7" spans="1:17">
      <c r="A7" s="161"/>
      <c r="B7" s="141" t="s">
        <v>39</v>
      </c>
      <c r="C7" s="89">
        <v>35</v>
      </c>
      <c r="D7" s="89">
        <v>67</v>
      </c>
      <c r="E7" s="89">
        <v>67</v>
      </c>
      <c r="F7" s="89">
        <v>68</v>
      </c>
      <c r="G7" s="89">
        <f t="shared" ref="G7:Q7" si="2">G9/100*31.5</f>
        <v>68.040000000000006</v>
      </c>
      <c r="H7" s="89">
        <v>68</v>
      </c>
      <c r="I7" s="89">
        <v>68</v>
      </c>
      <c r="J7" s="89">
        <f t="shared" si="2"/>
        <v>68.984999999999999</v>
      </c>
      <c r="K7" s="89">
        <v>70</v>
      </c>
      <c r="L7" s="89">
        <v>71</v>
      </c>
      <c r="M7" s="89">
        <v>71</v>
      </c>
      <c r="N7" s="89">
        <v>71</v>
      </c>
      <c r="O7" s="89">
        <v>71</v>
      </c>
      <c r="P7" s="89">
        <f t="shared" si="2"/>
        <v>74.97</v>
      </c>
      <c r="Q7" s="89">
        <f t="shared" si="2"/>
        <v>74.97</v>
      </c>
    </row>
    <row r="8" spans="1:17">
      <c r="A8" s="161"/>
      <c r="B8" s="141" t="s">
        <v>40</v>
      </c>
      <c r="C8" s="89">
        <v>32</v>
      </c>
      <c r="D8" s="89">
        <v>60</v>
      </c>
      <c r="E8" s="89">
        <v>61</v>
      </c>
      <c r="F8" s="89">
        <v>61</v>
      </c>
      <c r="G8" s="89">
        <v>61</v>
      </c>
      <c r="H8" s="89">
        <v>62</v>
      </c>
      <c r="I8" s="89">
        <v>62</v>
      </c>
      <c r="J8" s="89">
        <f t="shared" ref="J8" si="3">J9/100*28.3</f>
        <v>61.976999999999997</v>
      </c>
      <c r="K8" s="89">
        <v>62</v>
      </c>
      <c r="L8" s="89">
        <v>62</v>
      </c>
      <c r="M8" s="89">
        <v>62</v>
      </c>
      <c r="N8" s="89">
        <v>63</v>
      </c>
      <c r="O8" s="89">
        <v>63</v>
      </c>
      <c r="P8" s="89">
        <v>68</v>
      </c>
      <c r="Q8" s="89">
        <v>68</v>
      </c>
    </row>
    <row r="9" spans="1:17">
      <c r="A9" s="162"/>
      <c r="B9" s="144" t="s">
        <v>44</v>
      </c>
      <c r="C9" s="91">
        <v>112</v>
      </c>
      <c r="D9" s="91">
        <v>213</v>
      </c>
      <c r="E9" s="91">
        <v>214</v>
      </c>
      <c r="F9" s="91">
        <v>215</v>
      </c>
      <c r="G9" s="91">
        <v>216</v>
      </c>
      <c r="H9" s="91">
        <v>217</v>
      </c>
      <c r="I9" s="91">
        <v>218</v>
      </c>
      <c r="J9" s="91">
        <v>219</v>
      </c>
      <c r="K9" s="91">
        <v>220</v>
      </c>
      <c r="L9" s="91">
        <v>221</v>
      </c>
      <c r="M9" s="91">
        <v>222</v>
      </c>
      <c r="N9" s="91">
        <v>223</v>
      </c>
      <c r="O9" s="91">
        <v>224</v>
      </c>
      <c r="P9" s="91">
        <v>238</v>
      </c>
      <c r="Q9" s="91">
        <v>238</v>
      </c>
    </row>
    <row r="10" spans="1:17"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</row>
    <row r="11" spans="1:17" s="87" customFormat="1" ht="30">
      <c r="A11" s="160" t="s">
        <v>42</v>
      </c>
      <c r="B11" s="140" t="s">
        <v>48</v>
      </c>
      <c r="C11" s="134">
        <v>2021</v>
      </c>
      <c r="D11" s="134">
        <v>2022</v>
      </c>
      <c r="E11" s="134">
        <v>2023</v>
      </c>
      <c r="F11" s="134">
        <v>2024</v>
      </c>
      <c r="G11" s="134">
        <v>2025</v>
      </c>
      <c r="H11" s="134">
        <v>2026</v>
      </c>
      <c r="I11" s="134">
        <v>2027</v>
      </c>
      <c r="J11" s="134">
        <v>2028</v>
      </c>
      <c r="K11" s="134">
        <v>2029</v>
      </c>
      <c r="L11" s="134">
        <v>2030</v>
      </c>
      <c r="M11" s="134">
        <v>2031</v>
      </c>
      <c r="N11" s="134">
        <v>2032</v>
      </c>
      <c r="O11" s="134">
        <v>2033</v>
      </c>
      <c r="P11" s="134">
        <v>2034</v>
      </c>
      <c r="Q11" s="134">
        <v>2035</v>
      </c>
    </row>
    <row r="12" spans="1:17">
      <c r="A12" s="161"/>
      <c r="B12" s="141" t="s">
        <v>36</v>
      </c>
      <c r="C12" s="89">
        <f>C4</f>
        <v>19</v>
      </c>
      <c r="D12" s="89">
        <f>D4-C4</f>
        <v>18</v>
      </c>
      <c r="E12" s="89">
        <f t="shared" ref="E12:Q12" si="4">E4-D4</f>
        <v>0</v>
      </c>
      <c r="F12" s="89">
        <f t="shared" si="4"/>
        <v>0</v>
      </c>
      <c r="G12" s="89">
        <f t="shared" si="4"/>
        <v>0</v>
      </c>
      <c r="H12" s="89">
        <f t="shared" si="4"/>
        <v>0</v>
      </c>
      <c r="I12" s="89">
        <f t="shared" si="4"/>
        <v>1</v>
      </c>
      <c r="J12" s="89">
        <f t="shared" si="4"/>
        <v>0</v>
      </c>
      <c r="K12" s="89">
        <f t="shared" si="4"/>
        <v>0</v>
      </c>
      <c r="L12" s="89">
        <f t="shared" si="4"/>
        <v>0</v>
      </c>
      <c r="M12" s="89">
        <f t="shared" si="4"/>
        <v>0</v>
      </c>
      <c r="N12" s="89">
        <f t="shared" si="4"/>
        <v>1</v>
      </c>
      <c r="O12" s="89">
        <f t="shared" si="4"/>
        <v>0</v>
      </c>
      <c r="P12" s="89">
        <f t="shared" si="4"/>
        <v>2</v>
      </c>
      <c r="Q12" s="89">
        <f t="shared" si="4"/>
        <v>0</v>
      </c>
    </row>
    <row r="13" spans="1:17">
      <c r="A13" s="161"/>
      <c r="B13" s="141" t="s">
        <v>37</v>
      </c>
      <c r="C13" s="89">
        <f t="shared" ref="C13:C16" si="5">C5</f>
        <v>8</v>
      </c>
      <c r="D13" s="89">
        <f t="shared" ref="D13:Q17" si="6">D5-C5</f>
        <v>7</v>
      </c>
      <c r="E13" s="89">
        <f t="shared" ref="E13:Q13" si="7">E5-D5</f>
        <v>0</v>
      </c>
      <c r="F13" s="89">
        <f t="shared" si="7"/>
        <v>0</v>
      </c>
      <c r="G13" s="89">
        <f t="shared" si="7"/>
        <v>0</v>
      </c>
      <c r="H13" s="89">
        <f t="shared" si="7"/>
        <v>0</v>
      </c>
      <c r="I13" s="89">
        <f t="shared" si="7"/>
        <v>4.2000000000001592E-2</v>
      </c>
      <c r="J13" s="89">
        <f t="shared" si="7"/>
        <v>-4.2000000000001592E-2</v>
      </c>
      <c r="K13" s="89">
        <f t="shared" si="7"/>
        <v>0</v>
      </c>
      <c r="L13" s="89">
        <f t="shared" si="7"/>
        <v>0</v>
      </c>
      <c r="M13" s="89">
        <f t="shared" si="7"/>
        <v>0</v>
      </c>
      <c r="N13" s="89">
        <f t="shared" si="7"/>
        <v>0</v>
      </c>
      <c r="O13" s="89">
        <f t="shared" si="7"/>
        <v>0</v>
      </c>
      <c r="P13" s="89">
        <f t="shared" si="7"/>
        <v>1</v>
      </c>
      <c r="Q13" s="89">
        <f t="shared" si="7"/>
        <v>0</v>
      </c>
    </row>
    <row r="14" spans="1:17">
      <c r="A14" s="161"/>
      <c r="B14" s="141" t="s">
        <v>38</v>
      </c>
      <c r="C14" s="89">
        <f t="shared" si="5"/>
        <v>18</v>
      </c>
      <c r="D14" s="89">
        <f t="shared" si="6"/>
        <v>16</v>
      </c>
      <c r="E14" s="89">
        <f t="shared" ref="E14:Q14" si="8">E6-D6</f>
        <v>0</v>
      </c>
      <c r="F14" s="89">
        <f t="shared" si="8"/>
        <v>0</v>
      </c>
      <c r="G14" s="89">
        <f t="shared" si="8"/>
        <v>1</v>
      </c>
      <c r="H14" s="89">
        <f t="shared" si="8"/>
        <v>0</v>
      </c>
      <c r="I14" s="89">
        <f t="shared" si="8"/>
        <v>0</v>
      </c>
      <c r="J14" s="89">
        <f t="shared" si="8"/>
        <v>3.9999999999999147E-2</v>
      </c>
      <c r="K14" s="89">
        <f t="shared" si="8"/>
        <v>-3.9999999999999147E-2</v>
      </c>
      <c r="L14" s="89">
        <f t="shared" si="8"/>
        <v>0</v>
      </c>
      <c r="M14" s="89">
        <f t="shared" si="8"/>
        <v>1</v>
      </c>
      <c r="N14" s="89">
        <f t="shared" si="8"/>
        <v>0</v>
      </c>
      <c r="O14" s="89">
        <f t="shared" si="8"/>
        <v>0</v>
      </c>
      <c r="P14" s="89">
        <f t="shared" si="8"/>
        <v>2</v>
      </c>
      <c r="Q14" s="89">
        <f t="shared" si="8"/>
        <v>0</v>
      </c>
    </row>
    <row r="15" spans="1:17">
      <c r="A15" s="161"/>
      <c r="B15" s="141" t="s">
        <v>39</v>
      </c>
      <c r="C15" s="89">
        <f t="shared" si="5"/>
        <v>35</v>
      </c>
      <c r="D15" s="89">
        <f t="shared" si="6"/>
        <v>32</v>
      </c>
      <c r="E15" s="89">
        <f t="shared" ref="E15:Q15" si="9">E7-D7</f>
        <v>0</v>
      </c>
      <c r="F15" s="89">
        <f t="shared" si="9"/>
        <v>1</v>
      </c>
      <c r="G15" s="89">
        <f t="shared" si="9"/>
        <v>4.0000000000006253E-2</v>
      </c>
      <c r="H15" s="89">
        <f t="shared" si="9"/>
        <v>-4.0000000000006253E-2</v>
      </c>
      <c r="I15" s="89">
        <f t="shared" si="9"/>
        <v>0</v>
      </c>
      <c r="J15" s="89">
        <f t="shared" si="9"/>
        <v>0.98499999999999943</v>
      </c>
      <c r="K15" s="89">
        <f t="shared" si="9"/>
        <v>1.0150000000000006</v>
      </c>
      <c r="L15" s="89">
        <f t="shared" si="9"/>
        <v>1</v>
      </c>
      <c r="M15" s="89">
        <f t="shared" si="9"/>
        <v>0</v>
      </c>
      <c r="N15" s="89">
        <f t="shared" si="9"/>
        <v>0</v>
      </c>
      <c r="O15" s="89">
        <f t="shared" si="9"/>
        <v>0</v>
      </c>
      <c r="P15" s="89">
        <f t="shared" si="9"/>
        <v>3.9699999999999989</v>
      </c>
      <c r="Q15" s="89">
        <f t="shared" si="9"/>
        <v>0</v>
      </c>
    </row>
    <row r="16" spans="1:17">
      <c r="A16" s="161"/>
      <c r="B16" s="141" t="s">
        <v>40</v>
      </c>
      <c r="C16" s="89">
        <f t="shared" si="5"/>
        <v>32</v>
      </c>
      <c r="D16" s="89">
        <f t="shared" si="6"/>
        <v>28</v>
      </c>
      <c r="E16" s="89">
        <f t="shared" ref="E16:Q16" si="10">E8-D8</f>
        <v>1</v>
      </c>
      <c r="F16" s="89">
        <f t="shared" si="10"/>
        <v>0</v>
      </c>
      <c r="G16" s="89">
        <f t="shared" si="10"/>
        <v>0</v>
      </c>
      <c r="H16" s="89">
        <f t="shared" si="10"/>
        <v>1</v>
      </c>
      <c r="I16" s="89">
        <f t="shared" si="10"/>
        <v>0</v>
      </c>
      <c r="J16" s="89">
        <f t="shared" si="10"/>
        <v>-2.300000000000324E-2</v>
      </c>
      <c r="K16" s="89">
        <f t="shared" si="10"/>
        <v>2.300000000000324E-2</v>
      </c>
      <c r="L16" s="89">
        <f t="shared" si="10"/>
        <v>0</v>
      </c>
      <c r="M16" s="89">
        <f t="shared" si="10"/>
        <v>0</v>
      </c>
      <c r="N16" s="89">
        <f t="shared" si="10"/>
        <v>1</v>
      </c>
      <c r="O16" s="89">
        <f t="shared" si="10"/>
        <v>0</v>
      </c>
      <c r="P16" s="89">
        <f t="shared" si="10"/>
        <v>5</v>
      </c>
      <c r="Q16" s="89">
        <f t="shared" si="10"/>
        <v>0</v>
      </c>
    </row>
    <row r="17" spans="1:19">
      <c r="A17" s="162"/>
      <c r="B17" s="141" t="s">
        <v>44</v>
      </c>
      <c r="C17" s="89">
        <f>C9</f>
        <v>112</v>
      </c>
      <c r="D17" s="89">
        <f t="shared" si="6"/>
        <v>101</v>
      </c>
      <c r="E17" s="89">
        <f t="shared" si="6"/>
        <v>1</v>
      </c>
      <c r="F17" s="89">
        <f t="shared" si="6"/>
        <v>1</v>
      </c>
      <c r="G17" s="89">
        <f t="shared" si="6"/>
        <v>1</v>
      </c>
      <c r="H17" s="89">
        <f t="shared" si="6"/>
        <v>1</v>
      </c>
      <c r="I17" s="89">
        <f t="shared" si="6"/>
        <v>1</v>
      </c>
      <c r="J17" s="89">
        <f t="shared" si="6"/>
        <v>1</v>
      </c>
      <c r="K17" s="89">
        <f t="shared" si="6"/>
        <v>1</v>
      </c>
      <c r="L17" s="89">
        <f t="shared" si="6"/>
        <v>1</v>
      </c>
      <c r="M17" s="89">
        <f t="shared" si="6"/>
        <v>1</v>
      </c>
      <c r="N17" s="89">
        <f t="shared" si="6"/>
        <v>1</v>
      </c>
      <c r="O17" s="89">
        <f t="shared" si="6"/>
        <v>1</v>
      </c>
      <c r="P17" s="89">
        <f t="shared" si="6"/>
        <v>14</v>
      </c>
      <c r="Q17" s="89">
        <f t="shared" si="6"/>
        <v>0</v>
      </c>
    </row>
    <row r="19" spans="1:19" s="87" customFormat="1">
      <c r="A19" s="157" t="s">
        <v>41</v>
      </c>
      <c r="B19" s="142" t="s">
        <v>25</v>
      </c>
      <c r="C19" s="135">
        <v>2021</v>
      </c>
      <c r="D19" s="135">
        <v>2022</v>
      </c>
      <c r="E19" s="135">
        <v>2023</v>
      </c>
      <c r="F19" s="135">
        <v>2024</v>
      </c>
      <c r="G19" s="135">
        <v>2025</v>
      </c>
      <c r="H19" s="135">
        <v>2026</v>
      </c>
      <c r="I19" s="135">
        <v>2027</v>
      </c>
      <c r="J19" s="135">
        <v>2028</v>
      </c>
      <c r="K19" s="135">
        <v>2029</v>
      </c>
      <c r="L19" s="135">
        <v>2030</v>
      </c>
      <c r="M19" s="135">
        <v>2031</v>
      </c>
      <c r="N19" s="135">
        <v>2032</v>
      </c>
      <c r="O19" s="135">
        <v>2033</v>
      </c>
      <c r="P19" s="135">
        <v>2034</v>
      </c>
      <c r="Q19" s="135">
        <v>2035</v>
      </c>
    </row>
    <row r="20" spans="1:19">
      <c r="A20" s="158"/>
      <c r="B20" s="141" t="s">
        <v>36</v>
      </c>
      <c r="C20" s="85">
        <v>75</v>
      </c>
      <c r="D20" s="85">
        <f>D26/100*17.3</f>
        <v>114.00700000000001</v>
      </c>
      <c r="E20" s="85">
        <v>133</v>
      </c>
      <c r="F20" s="85">
        <v>150</v>
      </c>
      <c r="G20" s="85">
        <v>168</v>
      </c>
      <c r="H20" s="85">
        <v>184</v>
      </c>
      <c r="I20" s="85">
        <v>197</v>
      </c>
      <c r="J20" s="85">
        <f t="shared" ref="J20" si="11">J26/100*17.3</f>
        <v>210.02200000000002</v>
      </c>
      <c r="K20" s="85">
        <v>222</v>
      </c>
      <c r="L20" s="85">
        <v>234</v>
      </c>
      <c r="M20" s="85">
        <v>245</v>
      </c>
      <c r="N20" s="85">
        <v>254</v>
      </c>
      <c r="O20" s="85">
        <v>259</v>
      </c>
      <c r="P20" s="85">
        <v>261</v>
      </c>
      <c r="Q20" s="85">
        <v>261</v>
      </c>
      <c r="S20" s="88"/>
    </row>
    <row r="21" spans="1:19">
      <c r="A21" s="158"/>
      <c r="B21" s="141" t="s">
        <v>37</v>
      </c>
      <c r="C21" s="85">
        <v>30</v>
      </c>
      <c r="D21" s="85">
        <v>45</v>
      </c>
      <c r="E21" s="85">
        <v>53</v>
      </c>
      <c r="F21" s="85">
        <v>60</v>
      </c>
      <c r="G21" s="85">
        <v>67</v>
      </c>
      <c r="H21" s="85">
        <v>74</v>
      </c>
      <c r="I21" s="85">
        <v>79</v>
      </c>
      <c r="J21" s="85">
        <v>84</v>
      </c>
      <c r="K21" s="85">
        <v>89</v>
      </c>
      <c r="L21" s="85">
        <v>93</v>
      </c>
      <c r="M21" s="85">
        <v>98</v>
      </c>
      <c r="N21" s="85">
        <v>101</v>
      </c>
      <c r="O21" s="85">
        <v>103</v>
      </c>
      <c r="P21" s="85">
        <v>104</v>
      </c>
      <c r="Q21" s="85">
        <v>104</v>
      </c>
      <c r="S21" s="88"/>
    </row>
    <row r="22" spans="1:19">
      <c r="A22" s="158"/>
      <c r="B22" s="141" t="s">
        <v>38</v>
      </c>
      <c r="C22" s="150">
        <v>70</v>
      </c>
      <c r="D22" s="150">
        <v>105</v>
      </c>
      <c r="E22" s="150">
        <v>123</v>
      </c>
      <c r="F22" s="150">
        <v>139</v>
      </c>
      <c r="G22" s="150">
        <v>156</v>
      </c>
      <c r="H22" s="150">
        <v>170</v>
      </c>
      <c r="I22" s="150">
        <v>182</v>
      </c>
      <c r="J22" s="150">
        <v>194</v>
      </c>
      <c r="K22" s="150">
        <v>204</v>
      </c>
      <c r="L22" s="150">
        <f t="shared" ref="L22" si="12">L26/100*16</f>
        <v>216</v>
      </c>
      <c r="M22" s="150">
        <v>227</v>
      </c>
      <c r="N22" s="150">
        <v>235</v>
      </c>
      <c r="O22" s="150">
        <v>240</v>
      </c>
      <c r="P22" s="150">
        <v>241</v>
      </c>
      <c r="Q22" s="150">
        <v>241</v>
      </c>
      <c r="S22" s="88"/>
    </row>
    <row r="23" spans="1:19">
      <c r="A23" s="158"/>
      <c r="B23" s="141" t="s">
        <v>39</v>
      </c>
      <c r="C23" s="85">
        <v>137</v>
      </c>
      <c r="D23" s="85">
        <v>207</v>
      </c>
      <c r="E23" s="85">
        <v>242</v>
      </c>
      <c r="F23" s="85">
        <v>275</v>
      </c>
      <c r="G23" s="85">
        <v>307</v>
      </c>
      <c r="H23" s="85">
        <v>336</v>
      </c>
      <c r="I23" s="85">
        <v>359</v>
      </c>
      <c r="J23" s="85">
        <v>383</v>
      </c>
      <c r="K23" s="85">
        <v>406</v>
      </c>
      <c r="L23" s="85">
        <v>425</v>
      </c>
      <c r="M23" s="85">
        <v>446</v>
      </c>
      <c r="N23" s="85">
        <v>465</v>
      </c>
      <c r="O23" s="85">
        <v>473</v>
      </c>
      <c r="P23" s="85">
        <v>477</v>
      </c>
      <c r="Q23" s="85">
        <v>477</v>
      </c>
      <c r="S23" s="88"/>
    </row>
    <row r="24" spans="1:19">
      <c r="A24" s="158"/>
      <c r="B24" s="141" t="s">
        <v>40</v>
      </c>
      <c r="C24" s="85">
        <v>123</v>
      </c>
      <c r="D24" s="85">
        <v>188</v>
      </c>
      <c r="E24" s="85">
        <v>217</v>
      </c>
      <c r="F24" s="85">
        <v>246</v>
      </c>
      <c r="G24" s="85">
        <v>275</v>
      </c>
      <c r="H24" s="85">
        <v>301</v>
      </c>
      <c r="I24" s="85">
        <v>322</v>
      </c>
      <c r="J24" s="85">
        <v>343</v>
      </c>
      <c r="K24" s="85">
        <v>364</v>
      </c>
      <c r="L24" s="85">
        <v>382</v>
      </c>
      <c r="M24" s="85">
        <f t="shared" ref="M24" si="13">M26/100*28.3</f>
        <v>401.01100000000002</v>
      </c>
      <c r="N24" s="85">
        <v>416</v>
      </c>
      <c r="O24" s="85">
        <v>424</v>
      </c>
      <c r="P24" s="85">
        <v>427</v>
      </c>
      <c r="Q24" s="85">
        <v>427</v>
      </c>
      <c r="S24" s="88"/>
    </row>
    <row r="25" spans="1:19">
      <c r="A25" s="159"/>
      <c r="B25" s="144" t="s">
        <v>44</v>
      </c>
      <c r="C25" s="151">
        <f>SUM(C20:C24)</f>
        <v>435</v>
      </c>
      <c r="D25" s="151">
        <f>SUM(D20:D24)</f>
        <v>659.00700000000006</v>
      </c>
      <c r="E25" s="151">
        <f t="shared" ref="E25:Q25" si="14">SUM(E20:E24)</f>
        <v>768</v>
      </c>
      <c r="F25" s="151">
        <f t="shared" si="14"/>
        <v>870</v>
      </c>
      <c r="G25" s="151">
        <f t="shared" si="14"/>
        <v>973</v>
      </c>
      <c r="H25" s="151">
        <f t="shared" si="14"/>
        <v>1065</v>
      </c>
      <c r="I25" s="151">
        <f>SUM(I20:I24)</f>
        <v>1139</v>
      </c>
      <c r="J25" s="151">
        <f t="shared" si="14"/>
        <v>1214.0219999999999</v>
      </c>
      <c r="K25" s="151">
        <f t="shared" si="14"/>
        <v>1285</v>
      </c>
      <c r="L25" s="151">
        <f t="shared" si="14"/>
        <v>1350</v>
      </c>
      <c r="M25" s="151">
        <f t="shared" si="14"/>
        <v>1417.011</v>
      </c>
      <c r="N25" s="151">
        <f t="shared" si="14"/>
        <v>1471</v>
      </c>
      <c r="O25" s="151">
        <f t="shared" si="14"/>
        <v>1499</v>
      </c>
      <c r="P25" s="151">
        <f t="shared" si="14"/>
        <v>1510</v>
      </c>
      <c r="Q25" s="151">
        <f t="shared" si="14"/>
        <v>1510</v>
      </c>
      <c r="R25" s="87"/>
    </row>
    <row r="26" spans="1:19" hidden="1">
      <c r="D26" s="145">
        <v>659</v>
      </c>
      <c r="E26" s="145"/>
      <c r="F26" s="145"/>
      <c r="G26" s="145"/>
      <c r="H26" s="145"/>
      <c r="I26" s="145"/>
      <c r="J26" s="145">
        <v>1214</v>
      </c>
      <c r="K26" s="145">
        <v>1285</v>
      </c>
      <c r="L26" s="145">
        <v>1350</v>
      </c>
      <c r="M26" s="145">
        <v>1417</v>
      </c>
      <c r="N26" s="145"/>
      <c r="O26" s="145"/>
      <c r="P26" s="145"/>
      <c r="Q26" s="145"/>
    </row>
    <row r="27" spans="1:19"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5"/>
    </row>
    <row r="28" spans="1:19" s="87" customFormat="1">
      <c r="A28" s="157" t="s">
        <v>42</v>
      </c>
      <c r="B28" s="142" t="s">
        <v>25</v>
      </c>
      <c r="C28" s="135">
        <v>2021</v>
      </c>
      <c r="D28" s="135">
        <v>2022</v>
      </c>
      <c r="E28" s="135">
        <v>2023</v>
      </c>
      <c r="F28" s="135">
        <v>2024</v>
      </c>
      <c r="G28" s="135">
        <v>2025</v>
      </c>
      <c r="H28" s="135">
        <v>2026</v>
      </c>
      <c r="I28" s="135">
        <v>2027</v>
      </c>
      <c r="J28" s="135">
        <v>2028</v>
      </c>
      <c r="K28" s="135">
        <v>2029</v>
      </c>
      <c r="L28" s="135">
        <v>2030</v>
      </c>
      <c r="M28" s="135">
        <v>2031</v>
      </c>
      <c r="N28" s="135">
        <v>2032</v>
      </c>
      <c r="O28" s="135">
        <v>2033</v>
      </c>
      <c r="P28" s="135">
        <v>2034</v>
      </c>
      <c r="Q28" s="135">
        <v>2035</v>
      </c>
    </row>
    <row r="29" spans="1:19">
      <c r="A29" s="158"/>
      <c r="B29" s="141" t="s">
        <v>36</v>
      </c>
      <c r="C29" s="85">
        <f>C20</f>
        <v>75</v>
      </c>
      <c r="D29" s="85">
        <v>39</v>
      </c>
      <c r="E29" s="85">
        <v>19</v>
      </c>
      <c r="F29" s="85">
        <f t="shared" ref="F29:Q29" si="15">F20-E20</f>
        <v>17</v>
      </c>
      <c r="G29" s="85">
        <f t="shared" si="15"/>
        <v>18</v>
      </c>
      <c r="H29" s="85">
        <f t="shared" si="15"/>
        <v>16</v>
      </c>
      <c r="I29" s="85">
        <f t="shared" si="15"/>
        <v>13</v>
      </c>
      <c r="J29" s="85">
        <v>13</v>
      </c>
      <c r="K29" s="85">
        <v>12</v>
      </c>
      <c r="L29" s="85">
        <f t="shared" si="15"/>
        <v>12</v>
      </c>
      <c r="M29" s="85">
        <f t="shared" si="15"/>
        <v>11</v>
      </c>
      <c r="N29" s="85">
        <f t="shared" si="15"/>
        <v>9</v>
      </c>
      <c r="O29" s="85">
        <f t="shared" si="15"/>
        <v>5</v>
      </c>
      <c r="P29" s="85">
        <f t="shared" si="15"/>
        <v>2</v>
      </c>
      <c r="Q29" s="85">
        <f t="shared" si="15"/>
        <v>0</v>
      </c>
    </row>
    <row r="30" spans="1:19">
      <c r="A30" s="158"/>
      <c r="B30" s="141" t="s">
        <v>37</v>
      </c>
      <c r="C30" s="85">
        <f>C21</f>
        <v>30</v>
      </c>
      <c r="D30" s="85">
        <f t="shared" ref="D30:Q33" si="16">D21-C21</f>
        <v>15</v>
      </c>
      <c r="E30" s="85">
        <f t="shared" si="16"/>
        <v>8</v>
      </c>
      <c r="F30" s="85">
        <f t="shared" si="16"/>
        <v>7</v>
      </c>
      <c r="G30" s="85">
        <f t="shared" si="16"/>
        <v>7</v>
      </c>
      <c r="H30" s="85">
        <f t="shared" si="16"/>
        <v>7</v>
      </c>
      <c r="I30" s="85">
        <f t="shared" si="16"/>
        <v>5</v>
      </c>
      <c r="J30" s="85">
        <f t="shared" si="16"/>
        <v>5</v>
      </c>
      <c r="K30" s="85">
        <f t="shared" si="16"/>
        <v>5</v>
      </c>
      <c r="L30" s="85">
        <f t="shared" si="16"/>
        <v>4</v>
      </c>
      <c r="M30" s="85">
        <f t="shared" si="16"/>
        <v>5</v>
      </c>
      <c r="N30" s="85">
        <f t="shared" si="16"/>
        <v>3</v>
      </c>
      <c r="O30" s="85">
        <f t="shared" si="16"/>
        <v>2</v>
      </c>
      <c r="P30" s="85">
        <f t="shared" si="16"/>
        <v>1</v>
      </c>
      <c r="Q30" s="85">
        <f t="shared" si="16"/>
        <v>0</v>
      </c>
    </row>
    <row r="31" spans="1:19">
      <c r="A31" s="158"/>
      <c r="B31" s="141" t="s">
        <v>38</v>
      </c>
      <c r="C31" s="85">
        <f>C22</f>
        <v>70</v>
      </c>
      <c r="D31" s="85">
        <f t="shared" si="16"/>
        <v>35</v>
      </c>
      <c r="E31" s="85">
        <f t="shared" si="16"/>
        <v>18</v>
      </c>
      <c r="F31" s="85">
        <f t="shared" si="16"/>
        <v>16</v>
      </c>
      <c r="G31" s="85">
        <f t="shared" si="16"/>
        <v>17</v>
      </c>
      <c r="H31" s="85">
        <f t="shared" si="16"/>
        <v>14</v>
      </c>
      <c r="I31" s="85">
        <f t="shared" si="16"/>
        <v>12</v>
      </c>
      <c r="J31" s="85">
        <f t="shared" si="16"/>
        <v>12</v>
      </c>
      <c r="K31" s="85">
        <f t="shared" si="16"/>
        <v>10</v>
      </c>
      <c r="L31" s="84">
        <f t="shared" si="16"/>
        <v>12</v>
      </c>
      <c r="M31" s="85">
        <f t="shared" si="16"/>
        <v>11</v>
      </c>
      <c r="N31" s="85">
        <f t="shared" si="16"/>
        <v>8</v>
      </c>
      <c r="O31" s="85">
        <f t="shared" si="16"/>
        <v>5</v>
      </c>
      <c r="P31" s="85">
        <f t="shared" si="16"/>
        <v>1</v>
      </c>
      <c r="Q31" s="85">
        <f t="shared" si="16"/>
        <v>0</v>
      </c>
    </row>
    <row r="32" spans="1:19">
      <c r="A32" s="158"/>
      <c r="B32" s="141" t="s">
        <v>39</v>
      </c>
      <c r="C32" s="85">
        <f>C23</f>
        <v>137</v>
      </c>
      <c r="D32" s="85">
        <f t="shared" si="16"/>
        <v>70</v>
      </c>
      <c r="E32" s="85">
        <f t="shared" si="16"/>
        <v>35</v>
      </c>
      <c r="F32" s="85">
        <f t="shared" si="16"/>
        <v>33</v>
      </c>
      <c r="G32" s="85">
        <f t="shared" si="16"/>
        <v>32</v>
      </c>
      <c r="H32" s="85">
        <f t="shared" si="16"/>
        <v>29</v>
      </c>
      <c r="I32" s="85">
        <f t="shared" si="16"/>
        <v>23</v>
      </c>
      <c r="J32" s="85">
        <f t="shared" si="16"/>
        <v>24</v>
      </c>
      <c r="K32" s="85">
        <f t="shared" si="16"/>
        <v>23</v>
      </c>
      <c r="L32" s="85">
        <f t="shared" si="16"/>
        <v>19</v>
      </c>
      <c r="M32" s="85">
        <f t="shared" si="16"/>
        <v>21</v>
      </c>
      <c r="N32" s="85">
        <f t="shared" si="16"/>
        <v>19</v>
      </c>
      <c r="O32" s="85">
        <f t="shared" si="16"/>
        <v>8</v>
      </c>
      <c r="P32" s="85">
        <f t="shared" si="16"/>
        <v>4</v>
      </c>
      <c r="Q32" s="85">
        <f t="shared" si="16"/>
        <v>0</v>
      </c>
    </row>
    <row r="33" spans="1:17">
      <c r="A33" s="158"/>
      <c r="B33" s="141" t="s">
        <v>40</v>
      </c>
      <c r="C33" s="85">
        <f t="shared" ref="C33" si="17">C24</f>
        <v>123</v>
      </c>
      <c r="D33" s="85">
        <f t="shared" si="16"/>
        <v>65</v>
      </c>
      <c r="E33" s="85">
        <f t="shared" si="16"/>
        <v>29</v>
      </c>
      <c r="F33" s="85">
        <f t="shared" si="16"/>
        <v>29</v>
      </c>
      <c r="G33" s="85">
        <f t="shared" si="16"/>
        <v>29</v>
      </c>
      <c r="H33" s="85">
        <f t="shared" si="16"/>
        <v>26</v>
      </c>
      <c r="I33" s="85">
        <f t="shared" si="16"/>
        <v>21</v>
      </c>
      <c r="J33" s="85">
        <f t="shared" si="16"/>
        <v>21</v>
      </c>
      <c r="K33" s="85">
        <f t="shared" si="16"/>
        <v>21</v>
      </c>
      <c r="L33" s="85">
        <f t="shared" si="16"/>
        <v>18</v>
      </c>
      <c r="M33" s="85">
        <v>19</v>
      </c>
      <c r="N33" s="85">
        <v>15</v>
      </c>
      <c r="O33" s="85">
        <f t="shared" si="16"/>
        <v>8</v>
      </c>
      <c r="P33" s="85">
        <f t="shared" si="16"/>
        <v>3</v>
      </c>
      <c r="Q33" s="85">
        <f t="shared" si="16"/>
        <v>0</v>
      </c>
    </row>
    <row r="34" spans="1:17">
      <c r="A34" s="159"/>
      <c r="B34" s="144" t="s">
        <v>44</v>
      </c>
      <c r="C34" s="86">
        <f>SUM(C29:C33)</f>
        <v>435</v>
      </c>
      <c r="D34" s="86">
        <f t="shared" ref="D34:Q34" si="18">SUM(D29:D33)</f>
        <v>224</v>
      </c>
      <c r="E34" s="86">
        <f t="shared" si="18"/>
        <v>109</v>
      </c>
      <c r="F34" s="86">
        <f t="shared" si="18"/>
        <v>102</v>
      </c>
      <c r="G34" s="86">
        <f t="shared" si="18"/>
        <v>103</v>
      </c>
      <c r="H34" s="86">
        <f t="shared" si="18"/>
        <v>92</v>
      </c>
      <c r="I34" s="86">
        <f t="shared" si="18"/>
        <v>74</v>
      </c>
      <c r="J34" s="86">
        <f t="shared" si="18"/>
        <v>75</v>
      </c>
      <c r="K34" s="86">
        <f t="shared" si="18"/>
        <v>71</v>
      </c>
      <c r="L34" s="86">
        <f t="shared" si="18"/>
        <v>65</v>
      </c>
      <c r="M34" s="86">
        <f t="shared" si="18"/>
        <v>67</v>
      </c>
      <c r="N34" s="86">
        <f t="shared" si="18"/>
        <v>54</v>
      </c>
      <c r="O34" s="86">
        <f t="shared" si="18"/>
        <v>28</v>
      </c>
      <c r="P34" s="86">
        <f t="shared" si="18"/>
        <v>11</v>
      </c>
      <c r="Q34" s="86">
        <f t="shared" si="18"/>
        <v>0</v>
      </c>
    </row>
  </sheetData>
  <mergeCells count="4">
    <mergeCell ref="A28:A34"/>
    <mergeCell ref="A19:A25"/>
    <mergeCell ref="A11:A17"/>
    <mergeCell ref="A3:A9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1"/>
  <sheetViews>
    <sheetView topLeftCell="A13" workbookViewId="0">
      <selection activeCell="R27" sqref="R27"/>
    </sheetView>
  </sheetViews>
  <sheetFormatPr defaultRowHeight="12.75"/>
  <cols>
    <col min="1" max="1" width="12.85546875" style="1" customWidth="1"/>
    <col min="2" max="2" width="26.5703125" style="1" customWidth="1"/>
    <col min="3" max="17" width="6.42578125" style="1" customWidth="1"/>
    <col min="18" max="16384" width="9.140625" style="1"/>
  </cols>
  <sheetData>
    <row r="1" spans="1:19" s="109" customFormat="1" ht="20.25">
      <c r="A1" s="121" t="s">
        <v>46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22"/>
    </row>
    <row r="4" spans="1:19" s="112" customFormat="1">
      <c r="A4" s="163" t="s">
        <v>45</v>
      </c>
      <c r="B4" s="116" t="s">
        <v>7</v>
      </c>
      <c r="C4" s="116">
        <v>2021</v>
      </c>
      <c r="D4" s="116">
        <v>2022</v>
      </c>
      <c r="E4" s="116">
        <v>2023</v>
      </c>
      <c r="F4" s="116">
        <v>2024</v>
      </c>
      <c r="G4" s="116">
        <v>2025</v>
      </c>
      <c r="H4" s="116">
        <v>2026</v>
      </c>
      <c r="I4" s="116">
        <v>2027</v>
      </c>
      <c r="J4" s="116">
        <v>2028</v>
      </c>
      <c r="K4" s="116">
        <v>2029</v>
      </c>
      <c r="L4" s="116">
        <v>2030</v>
      </c>
      <c r="M4" s="116">
        <v>2031</v>
      </c>
      <c r="N4" s="116">
        <v>2032</v>
      </c>
      <c r="O4" s="116">
        <v>2033</v>
      </c>
      <c r="P4" s="137">
        <v>2034</v>
      </c>
      <c r="Q4" s="137">
        <v>2035</v>
      </c>
      <c r="R4" s="115"/>
    </row>
    <row r="5" spans="1:19" s="112" customFormat="1">
      <c r="A5" s="164"/>
      <c r="B5" s="118" t="s">
        <v>28</v>
      </c>
      <c r="C5" s="118">
        <f>1634-900</f>
        <v>734</v>
      </c>
      <c r="D5" s="118">
        <v>2008</v>
      </c>
      <c r="E5" s="118">
        <v>2352</v>
      </c>
      <c r="F5" s="118">
        <v>2671</v>
      </c>
      <c r="G5" s="118">
        <v>2974</v>
      </c>
      <c r="H5" s="118">
        <v>3276</v>
      </c>
      <c r="I5" s="118">
        <v>3563</v>
      </c>
      <c r="J5" s="118">
        <v>3816</v>
      </c>
      <c r="K5" s="118">
        <v>4086</v>
      </c>
      <c r="L5" s="118">
        <v>4363</v>
      </c>
      <c r="M5" s="118">
        <v>4627</v>
      </c>
      <c r="N5" s="118">
        <v>4914</v>
      </c>
      <c r="O5" s="118">
        <v>5130</v>
      </c>
      <c r="P5" s="117">
        <f>O5</f>
        <v>5130</v>
      </c>
      <c r="Q5" s="117">
        <f>P5</f>
        <v>5130</v>
      </c>
      <c r="R5" s="115"/>
    </row>
    <row r="6" spans="1:19" s="113" customFormat="1">
      <c r="A6" s="164"/>
      <c r="B6" s="119" t="s">
        <v>29</v>
      </c>
      <c r="C6" s="119">
        <f>943.2-300</f>
        <v>643.20000000000005</v>
      </c>
      <c r="D6" s="119">
        <v>1106</v>
      </c>
      <c r="E6" s="119">
        <v>1249.2</v>
      </c>
      <c r="F6" s="119">
        <v>1378.8</v>
      </c>
      <c r="G6" s="119">
        <v>1511.3999999999999</v>
      </c>
      <c r="H6" s="119">
        <v>1632</v>
      </c>
      <c r="I6" s="119">
        <v>1711.2</v>
      </c>
      <c r="J6" s="119">
        <v>1807.8</v>
      </c>
      <c r="K6" s="119">
        <v>1909.8</v>
      </c>
      <c r="L6" s="119">
        <v>2008.8</v>
      </c>
      <c r="M6" s="119">
        <v>2116.7999999999997</v>
      </c>
      <c r="N6" s="119">
        <v>2213.4</v>
      </c>
      <c r="O6" s="119">
        <v>2277</v>
      </c>
      <c r="P6" s="117">
        <v>2325</v>
      </c>
      <c r="Q6" s="117">
        <v>2565</v>
      </c>
      <c r="R6" s="115"/>
    </row>
    <row r="7" spans="1:19" s="111" customFormat="1">
      <c r="A7" s="165"/>
      <c r="B7" s="120" t="s">
        <v>22</v>
      </c>
      <c r="C7" s="120">
        <f t="shared" ref="C7:Q7" si="0">SUM(C5:C6)</f>
        <v>1377.2</v>
      </c>
      <c r="D7" s="120">
        <f t="shared" si="0"/>
        <v>3114</v>
      </c>
      <c r="E7" s="120">
        <f t="shared" si="0"/>
        <v>3601.2</v>
      </c>
      <c r="F7" s="120">
        <f t="shared" si="0"/>
        <v>4049.8</v>
      </c>
      <c r="G7" s="120">
        <f t="shared" si="0"/>
        <v>4485.3999999999996</v>
      </c>
      <c r="H7" s="120">
        <f t="shared" si="0"/>
        <v>4908</v>
      </c>
      <c r="I7" s="120">
        <f t="shared" si="0"/>
        <v>5274.2</v>
      </c>
      <c r="J7" s="120">
        <f t="shared" si="0"/>
        <v>5623.8</v>
      </c>
      <c r="K7" s="120">
        <f t="shared" si="0"/>
        <v>5995.8</v>
      </c>
      <c r="L7" s="120">
        <f t="shared" si="0"/>
        <v>6371.8</v>
      </c>
      <c r="M7" s="120">
        <f t="shared" si="0"/>
        <v>6743.7999999999993</v>
      </c>
      <c r="N7" s="120">
        <f t="shared" si="0"/>
        <v>7127.4</v>
      </c>
      <c r="O7" s="120">
        <f t="shared" si="0"/>
        <v>7407</v>
      </c>
      <c r="P7" s="117">
        <f t="shared" si="0"/>
        <v>7455</v>
      </c>
      <c r="Q7" s="117">
        <f t="shared" si="0"/>
        <v>7695</v>
      </c>
    </row>
    <row r="8" spans="1:19" s="111" customFormat="1"/>
    <row r="9" spans="1:19" s="111" customFormat="1"/>
    <row r="10" spans="1:19" s="114" customFormat="1">
      <c r="A10" s="111"/>
      <c r="B10" s="111"/>
      <c r="C10" s="10">
        <v>2021</v>
      </c>
      <c r="D10" s="10">
        <v>2022</v>
      </c>
      <c r="E10" s="10">
        <v>2023</v>
      </c>
      <c r="F10" s="10">
        <v>2024</v>
      </c>
      <c r="G10" s="10">
        <v>2025</v>
      </c>
      <c r="H10" s="10">
        <v>2026</v>
      </c>
      <c r="I10" s="10">
        <v>2027</v>
      </c>
      <c r="J10" s="10">
        <v>2028</v>
      </c>
      <c r="K10" s="10">
        <v>2029</v>
      </c>
      <c r="L10" s="10">
        <v>2030</v>
      </c>
      <c r="M10" s="10">
        <v>2031</v>
      </c>
      <c r="N10" s="10">
        <v>2032</v>
      </c>
      <c r="O10" s="10">
        <v>2033</v>
      </c>
      <c r="P10" s="10">
        <v>2034</v>
      </c>
      <c r="Q10" s="10">
        <v>2035</v>
      </c>
      <c r="R10" s="123"/>
    </row>
    <row r="11" spans="1:19">
      <c r="A11" s="166" t="s">
        <v>41</v>
      </c>
      <c r="B11" s="124" t="s">
        <v>28</v>
      </c>
      <c r="C11" s="59">
        <f>1634-900</f>
        <v>734</v>
      </c>
      <c r="D11" s="59">
        <v>2008</v>
      </c>
      <c r="E11" s="59">
        <v>2352</v>
      </c>
      <c r="F11" s="59">
        <v>2671</v>
      </c>
      <c r="G11" s="59">
        <v>2974</v>
      </c>
      <c r="H11" s="59">
        <v>3276</v>
      </c>
      <c r="I11" s="59">
        <v>3563</v>
      </c>
      <c r="J11" s="59">
        <v>3816</v>
      </c>
      <c r="K11" s="59">
        <v>4086</v>
      </c>
      <c r="L11" s="59">
        <v>4363</v>
      </c>
      <c r="M11" s="59">
        <v>4627</v>
      </c>
      <c r="N11" s="59">
        <v>4914</v>
      </c>
      <c r="O11" s="59">
        <v>5130</v>
      </c>
      <c r="P11" s="59">
        <f>O11</f>
        <v>5130</v>
      </c>
      <c r="Q11" s="59">
        <f>P11</f>
        <v>5130</v>
      </c>
    </row>
    <row r="12" spans="1:19" ht="15">
      <c r="A12" s="166"/>
      <c r="B12" s="103" t="s">
        <v>36</v>
      </c>
      <c r="C12" s="104">
        <f>C11/100*17.3</f>
        <v>126.982</v>
      </c>
      <c r="D12" s="104">
        <f t="shared" ref="D12:Q12" si="1">D11/100*17.3</f>
        <v>347.38399999999996</v>
      </c>
      <c r="E12" s="104">
        <f t="shared" si="1"/>
        <v>406.89600000000002</v>
      </c>
      <c r="F12" s="104">
        <f t="shared" si="1"/>
        <v>462.08300000000003</v>
      </c>
      <c r="G12" s="104">
        <f t="shared" si="1"/>
        <v>514.50199999999995</v>
      </c>
      <c r="H12" s="104">
        <f t="shared" si="1"/>
        <v>566.74799999999993</v>
      </c>
      <c r="I12" s="104">
        <f t="shared" si="1"/>
        <v>616.39900000000011</v>
      </c>
      <c r="J12" s="104">
        <f t="shared" si="1"/>
        <v>660.16800000000001</v>
      </c>
      <c r="K12" s="104">
        <f t="shared" si="1"/>
        <v>706.87800000000004</v>
      </c>
      <c r="L12" s="104">
        <f t="shared" si="1"/>
        <v>754.79900000000009</v>
      </c>
      <c r="M12" s="104">
        <f t="shared" si="1"/>
        <v>800.47100000000012</v>
      </c>
      <c r="N12" s="104">
        <f t="shared" si="1"/>
        <v>850.12200000000007</v>
      </c>
      <c r="O12" s="104">
        <f t="shared" si="1"/>
        <v>887.49</v>
      </c>
      <c r="P12" s="104">
        <f t="shared" si="1"/>
        <v>887.49</v>
      </c>
      <c r="Q12" s="104">
        <f t="shared" si="1"/>
        <v>887.49</v>
      </c>
      <c r="R12" s="105"/>
      <c r="S12" s="88"/>
    </row>
    <row r="13" spans="1:19" ht="15">
      <c r="A13" s="166"/>
      <c r="B13" s="103" t="s">
        <v>37</v>
      </c>
      <c r="C13" s="104">
        <f>C11/100*6.9</f>
        <v>50.646000000000001</v>
      </c>
      <c r="D13" s="104">
        <f t="shared" ref="D13:Q13" si="2">D11/100*6.9</f>
        <v>138.55199999999999</v>
      </c>
      <c r="E13" s="104">
        <f t="shared" si="2"/>
        <v>162.28800000000001</v>
      </c>
      <c r="F13" s="104">
        <f t="shared" si="2"/>
        <v>184.29900000000001</v>
      </c>
      <c r="G13" s="104">
        <f t="shared" si="2"/>
        <v>205.20599999999999</v>
      </c>
      <c r="H13" s="104">
        <f t="shared" si="2"/>
        <v>226.04400000000001</v>
      </c>
      <c r="I13" s="104">
        <f t="shared" si="2"/>
        <v>245.84700000000004</v>
      </c>
      <c r="J13" s="104">
        <f t="shared" si="2"/>
        <v>263.30399999999997</v>
      </c>
      <c r="K13" s="104">
        <f t="shared" si="2"/>
        <v>281.93400000000003</v>
      </c>
      <c r="L13" s="104">
        <f t="shared" si="2"/>
        <v>301.04700000000003</v>
      </c>
      <c r="M13" s="104">
        <f t="shared" si="2"/>
        <v>319.26300000000003</v>
      </c>
      <c r="N13" s="104">
        <f t="shared" si="2"/>
        <v>339.06600000000003</v>
      </c>
      <c r="O13" s="104">
        <f t="shared" si="2"/>
        <v>353.96999999999997</v>
      </c>
      <c r="P13" s="104">
        <f t="shared" si="2"/>
        <v>353.96999999999997</v>
      </c>
      <c r="Q13" s="104">
        <f t="shared" si="2"/>
        <v>353.96999999999997</v>
      </c>
      <c r="R13" s="105"/>
      <c r="S13" s="88"/>
    </row>
    <row r="14" spans="1:19" ht="15">
      <c r="A14" s="166"/>
      <c r="B14" s="103" t="s">
        <v>38</v>
      </c>
      <c r="C14" s="138">
        <f>C11/100*16</f>
        <v>117.44</v>
      </c>
      <c r="D14" s="138">
        <f t="shared" ref="D14:Q14" si="3">D11/100*16</f>
        <v>321.27999999999997</v>
      </c>
      <c r="E14" s="138">
        <f t="shared" si="3"/>
        <v>376.32</v>
      </c>
      <c r="F14" s="138">
        <f t="shared" si="3"/>
        <v>427.36</v>
      </c>
      <c r="G14" s="138">
        <f t="shared" si="3"/>
        <v>475.84</v>
      </c>
      <c r="H14" s="138">
        <f t="shared" si="3"/>
        <v>524.16</v>
      </c>
      <c r="I14" s="138">
        <f t="shared" si="3"/>
        <v>570.08000000000004</v>
      </c>
      <c r="J14" s="138">
        <f t="shared" si="3"/>
        <v>610.55999999999995</v>
      </c>
      <c r="K14" s="138">
        <f t="shared" si="3"/>
        <v>653.76</v>
      </c>
      <c r="L14" s="138">
        <f t="shared" si="3"/>
        <v>698.08</v>
      </c>
      <c r="M14" s="138">
        <f t="shared" si="3"/>
        <v>740.32</v>
      </c>
      <c r="N14" s="138">
        <f t="shared" si="3"/>
        <v>786.24</v>
      </c>
      <c r="O14" s="138">
        <f t="shared" si="3"/>
        <v>820.8</v>
      </c>
      <c r="P14" s="138">
        <f t="shared" si="3"/>
        <v>820.8</v>
      </c>
      <c r="Q14" s="138">
        <f t="shared" si="3"/>
        <v>820.8</v>
      </c>
      <c r="R14" s="105"/>
      <c r="S14" s="88"/>
    </row>
    <row r="15" spans="1:19" ht="15">
      <c r="A15" s="166"/>
      <c r="B15" s="103" t="s">
        <v>39</v>
      </c>
      <c r="C15" s="104">
        <f>C11/100*31.5</f>
        <v>231.21</v>
      </c>
      <c r="D15" s="104">
        <f t="shared" ref="D15:Q15" si="4">D11/100*31.5</f>
        <v>632.52</v>
      </c>
      <c r="E15" s="104">
        <f t="shared" si="4"/>
        <v>740.88</v>
      </c>
      <c r="F15" s="104">
        <f t="shared" si="4"/>
        <v>841.36500000000001</v>
      </c>
      <c r="G15" s="104">
        <f t="shared" si="4"/>
        <v>936.81</v>
      </c>
      <c r="H15" s="104">
        <f t="shared" si="4"/>
        <v>1031.9399999999998</v>
      </c>
      <c r="I15" s="104">
        <f t="shared" si="4"/>
        <v>1122.345</v>
      </c>
      <c r="J15" s="104">
        <f t="shared" si="4"/>
        <v>1202.04</v>
      </c>
      <c r="K15" s="104">
        <f t="shared" si="4"/>
        <v>1287.0899999999999</v>
      </c>
      <c r="L15" s="104">
        <f t="shared" si="4"/>
        <v>1374.345</v>
      </c>
      <c r="M15" s="104">
        <f t="shared" si="4"/>
        <v>1457.5050000000001</v>
      </c>
      <c r="N15" s="104">
        <f t="shared" si="4"/>
        <v>1547.91</v>
      </c>
      <c r="O15" s="104">
        <f t="shared" si="4"/>
        <v>1615.9499999999998</v>
      </c>
      <c r="P15" s="104">
        <f t="shared" si="4"/>
        <v>1615.9499999999998</v>
      </c>
      <c r="Q15" s="104">
        <f t="shared" si="4"/>
        <v>1615.9499999999998</v>
      </c>
      <c r="R15" s="105"/>
      <c r="S15" s="88"/>
    </row>
    <row r="16" spans="1:19" ht="15">
      <c r="A16" s="166"/>
      <c r="B16" s="103" t="s">
        <v>40</v>
      </c>
      <c r="C16" s="104">
        <f>C11/100*28.3</f>
        <v>207.72200000000001</v>
      </c>
      <c r="D16" s="104">
        <f t="shared" ref="D16:Q16" si="5">D11/100*28.3</f>
        <v>568.26400000000001</v>
      </c>
      <c r="E16" s="104">
        <f t="shared" si="5"/>
        <v>665.61599999999999</v>
      </c>
      <c r="F16" s="104">
        <f t="shared" si="5"/>
        <v>755.89300000000003</v>
      </c>
      <c r="G16" s="104">
        <f t="shared" si="5"/>
        <v>841.64199999999994</v>
      </c>
      <c r="H16" s="104">
        <f t="shared" si="5"/>
        <v>927.10799999999995</v>
      </c>
      <c r="I16" s="104">
        <f t="shared" si="5"/>
        <v>1008.3290000000001</v>
      </c>
      <c r="J16" s="104">
        <f t="shared" si="5"/>
        <v>1079.9279999999999</v>
      </c>
      <c r="K16" s="104">
        <f t="shared" si="5"/>
        <v>1156.338</v>
      </c>
      <c r="L16" s="104">
        <f t="shared" si="5"/>
        <v>1234.729</v>
      </c>
      <c r="M16" s="104">
        <f t="shared" si="5"/>
        <v>1309.441</v>
      </c>
      <c r="N16" s="104">
        <f t="shared" si="5"/>
        <v>1390.662</v>
      </c>
      <c r="O16" s="104">
        <f t="shared" si="5"/>
        <v>1451.79</v>
      </c>
      <c r="P16" s="104">
        <f t="shared" si="5"/>
        <v>1451.79</v>
      </c>
      <c r="Q16" s="104">
        <f t="shared" si="5"/>
        <v>1451.79</v>
      </c>
      <c r="R16" s="105"/>
      <c r="S16" s="88"/>
    </row>
    <row r="17" spans="1:19" s="3" customFormat="1">
      <c r="A17" s="166"/>
      <c r="B17" s="69" t="s">
        <v>35</v>
      </c>
      <c r="C17" s="106">
        <f>SUM(C12:C16)</f>
        <v>734</v>
      </c>
      <c r="D17" s="106">
        <f t="shared" ref="D17:Q17" si="6">SUM(D12:D16)</f>
        <v>2008</v>
      </c>
      <c r="E17" s="106">
        <f t="shared" si="6"/>
        <v>2352</v>
      </c>
      <c r="F17" s="106">
        <f t="shared" si="6"/>
        <v>2671</v>
      </c>
      <c r="G17" s="106">
        <f t="shared" si="6"/>
        <v>2974</v>
      </c>
      <c r="H17" s="106">
        <f t="shared" si="6"/>
        <v>3276</v>
      </c>
      <c r="I17" s="106">
        <f t="shared" si="6"/>
        <v>3563.0000000000005</v>
      </c>
      <c r="J17" s="106">
        <f t="shared" si="6"/>
        <v>3816</v>
      </c>
      <c r="K17" s="106">
        <f t="shared" si="6"/>
        <v>4086</v>
      </c>
      <c r="L17" s="106">
        <f t="shared" si="6"/>
        <v>4363</v>
      </c>
      <c r="M17" s="106">
        <f t="shared" si="6"/>
        <v>4627</v>
      </c>
      <c r="N17" s="106">
        <f t="shared" si="6"/>
        <v>4914</v>
      </c>
      <c r="O17" s="106">
        <f t="shared" si="6"/>
        <v>5130</v>
      </c>
      <c r="P17" s="106">
        <f t="shared" si="6"/>
        <v>5130</v>
      </c>
      <c r="Q17" s="106">
        <f t="shared" si="6"/>
        <v>5130</v>
      </c>
    </row>
    <row r="18" spans="1:19" s="3" customFormat="1">
      <c r="A18" s="7"/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</row>
    <row r="19" spans="1:19">
      <c r="A19" s="167" t="s">
        <v>42</v>
      </c>
      <c r="B19" s="90" t="s">
        <v>28</v>
      </c>
      <c r="C19" s="62"/>
      <c r="D19" s="62"/>
      <c r="E19" s="63"/>
      <c r="F19" s="59"/>
      <c r="G19" s="59"/>
      <c r="H19" s="63"/>
      <c r="I19" s="59"/>
      <c r="J19" s="59"/>
      <c r="K19" s="59"/>
      <c r="L19" s="59"/>
      <c r="M19" s="59"/>
      <c r="N19" s="59"/>
      <c r="O19" s="59"/>
      <c r="P19" s="59"/>
      <c r="Q19" s="62"/>
    </row>
    <row r="20" spans="1:19" ht="15">
      <c r="A20" s="168"/>
      <c r="B20" s="103" t="s">
        <v>36</v>
      </c>
      <c r="C20" s="104">
        <f>C12</f>
        <v>126.982</v>
      </c>
      <c r="D20" s="104">
        <f t="shared" ref="D20:Q20" si="7">D12-C12</f>
        <v>220.40199999999996</v>
      </c>
      <c r="E20" s="104">
        <f t="shared" si="7"/>
        <v>59.512000000000057</v>
      </c>
      <c r="F20" s="104">
        <f t="shared" si="7"/>
        <v>55.187000000000012</v>
      </c>
      <c r="G20" s="104">
        <f t="shared" si="7"/>
        <v>52.418999999999926</v>
      </c>
      <c r="H20" s="104">
        <f t="shared" si="7"/>
        <v>52.245999999999981</v>
      </c>
      <c r="I20" s="104">
        <f t="shared" si="7"/>
        <v>49.651000000000181</v>
      </c>
      <c r="J20" s="104">
        <f t="shared" si="7"/>
        <v>43.768999999999892</v>
      </c>
      <c r="K20" s="104">
        <f t="shared" si="7"/>
        <v>46.710000000000036</v>
      </c>
      <c r="L20" s="104">
        <f t="shared" si="7"/>
        <v>47.921000000000049</v>
      </c>
      <c r="M20" s="104">
        <f t="shared" si="7"/>
        <v>45.672000000000025</v>
      </c>
      <c r="N20" s="104">
        <f t="shared" si="7"/>
        <v>49.650999999999954</v>
      </c>
      <c r="O20" s="104">
        <f t="shared" si="7"/>
        <v>37.367999999999938</v>
      </c>
      <c r="P20" s="104">
        <f t="shared" si="7"/>
        <v>0</v>
      </c>
      <c r="Q20" s="104">
        <f t="shared" si="7"/>
        <v>0</v>
      </c>
      <c r="S20" s="88"/>
    </row>
    <row r="21" spans="1:19" ht="15">
      <c r="A21" s="168"/>
      <c r="B21" s="103" t="s">
        <v>37</v>
      </c>
      <c r="C21" s="104">
        <f t="shared" ref="C21:C25" si="8">C13</f>
        <v>50.646000000000001</v>
      </c>
      <c r="D21" s="104">
        <f t="shared" ref="D21:Q25" si="9">D13-C13</f>
        <v>87.905999999999992</v>
      </c>
      <c r="E21" s="104">
        <f t="shared" si="9"/>
        <v>23.736000000000018</v>
      </c>
      <c r="F21" s="104">
        <f t="shared" si="9"/>
        <v>22.010999999999996</v>
      </c>
      <c r="G21" s="104">
        <f t="shared" si="9"/>
        <v>20.906999999999982</v>
      </c>
      <c r="H21" s="104">
        <f t="shared" si="9"/>
        <v>20.838000000000022</v>
      </c>
      <c r="I21" s="104">
        <f t="shared" si="9"/>
        <v>19.803000000000026</v>
      </c>
      <c r="J21" s="104">
        <f t="shared" si="9"/>
        <v>17.456999999999937</v>
      </c>
      <c r="K21" s="104">
        <f t="shared" si="9"/>
        <v>18.630000000000052</v>
      </c>
      <c r="L21" s="104">
        <f t="shared" si="9"/>
        <v>19.113</v>
      </c>
      <c r="M21" s="104">
        <f t="shared" si="9"/>
        <v>18.216000000000008</v>
      </c>
      <c r="N21" s="104">
        <f t="shared" si="9"/>
        <v>19.802999999999997</v>
      </c>
      <c r="O21" s="104">
        <f t="shared" si="9"/>
        <v>14.90399999999994</v>
      </c>
      <c r="P21" s="104">
        <f t="shared" si="9"/>
        <v>0</v>
      </c>
      <c r="Q21" s="104">
        <f t="shared" si="9"/>
        <v>0</v>
      </c>
      <c r="S21" s="88"/>
    </row>
    <row r="22" spans="1:19" ht="15">
      <c r="A22" s="168"/>
      <c r="B22" s="103" t="s">
        <v>38</v>
      </c>
      <c r="C22" s="138">
        <f t="shared" si="8"/>
        <v>117.44</v>
      </c>
      <c r="D22" s="138">
        <f t="shared" si="9"/>
        <v>203.83999999999997</v>
      </c>
      <c r="E22" s="138">
        <f t="shared" si="9"/>
        <v>55.04000000000002</v>
      </c>
      <c r="F22" s="138">
        <f t="shared" si="9"/>
        <v>51.04000000000002</v>
      </c>
      <c r="G22" s="138">
        <f t="shared" si="9"/>
        <v>48.479999999999961</v>
      </c>
      <c r="H22" s="138">
        <f t="shared" si="9"/>
        <v>48.319999999999993</v>
      </c>
      <c r="I22" s="138">
        <f t="shared" si="9"/>
        <v>45.920000000000073</v>
      </c>
      <c r="J22" s="138">
        <f t="shared" si="9"/>
        <v>40.479999999999905</v>
      </c>
      <c r="K22" s="138">
        <f t="shared" si="9"/>
        <v>43.200000000000045</v>
      </c>
      <c r="L22" s="138">
        <f t="shared" si="9"/>
        <v>44.32000000000005</v>
      </c>
      <c r="M22" s="138">
        <f t="shared" si="9"/>
        <v>42.240000000000009</v>
      </c>
      <c r="N22" s="138">
        <f t="shared" si="9"/>
        <v>45.919999999999959</v>
      </c>
      <c r="O22" s="138">
        <f t="shared" si="9"/>
        <v>34.559999999999945</v>
      </c>
      <c r="P22" s="138">
        <f t="shared" si="9"/>
        <v>0</v>
      </c>
      <c r="Q22" s="138">
        <f t="shared" si="9"/>
        <v>0</v>
      </c>
      <c r="S22" s="88"/>
    </row>
    <row r="23" spans="1:19" ht="15">
      <c r="A23" s="168"/>
      <c r="B23" s="103" t="s">
        <v>39</v>
      </c>
      <c r="C23" s="104">
        <f t="shared" si="8"/>
        <v>231.21</v>
      </c>
      <c r="D23" s="104">
        <f t="shared" si="9"/>
        <v>401.30999999999995</v>
      </c>
      <c r="E23" s="104">
        <f t="shared" si="9"/>
        <v>108.36000000000001</v>
      </c>
      <c r="F23" s="104">
        <f t="shared" si="9"/>
        <v>100.48500000000001</v>
      </c>
      <c r="G23" s="104">
        <f t="shared" si="9"/>
        <v>95.444999999999936</v>
      </c>
      <c r="H23" s="104">
        <f t="shared" si="9"/>
        <v>95.129999999999882</v>
      </c>
      <c r="I23" s="104">
        <f t="shared" si="9"/>
        <v>90.4050000000002</v>
      </c>
      <c r="J23" s="104">
        <f t="shared" si="9"/>
        <v>79.694999999999936</v>
      </c>
      <c r="K23" s="104">
        <f t="shared" si="9"/>
        <v>85.049999999999955</v>
      </c>
      <c r="L23" s="104">
        <f t="shared" si="9"/>
        <v>87.255000000000109</v>
      </c>
      <c r="M23" s="104">
        <f t="shared" si="9"/>
        <v>83.160000000000082</v>
      </c>
      <c r="N23" s="104">
        <f t="shared" si="9"/>
        <v>90.404999999999973</v>
      </c>
      <c r="O23" s="104">
        <f t="shared" si="9"/>
        <v>68.039999999999736</v>
      </c>
      <c r="P23" s="104">
        <f t="shared" si="9"/>
        <v>0</v>
      </c>
      <c r="Q23" s="104">
        <f t="shared" si="9"/>
        <v>0</v>
      </c>
      <c r="S23" s="88"/>
    </row>
    <row r="24" spans="1:19" ht="15">
      <c r="A24" s="168"/>
      <c r="B24" s="103" t="s">
        <v>40</v>
      </c>
      <c r="C24" s="104">
        <f t="shared" si="8"/>
        <v>207.72200000000001</v>
      </c>
      <c r="D24" s="104">
        <f t="shared" si="9"/>
        <v>360.54200000000003</v>
      </c>
      <c r="E24" s="104">
        <f t="shared" si="9"/>
        <v>97.351999999999975</v>
      </c>
      <c r="F24" s="104">
        <f t="shared" si="9"/>
        <v>90.277000000000044</v>
      </c>
      <c r="G24" s="104">
        <f t="shared" si="9"/>
        <v>85.74899999999991</v>
      </c>
      <c r="H24" s="104">
        <f t="shared" si="9"/>
        <v>85.466000000000008</v>
      </c>
      <c r="I24" s="104">
        <f t="shared" si="9"/>
        <v>81.221000000000117</v>
      </c>
      <c r="J24" s="104">
        <f t="shared" si="9"/>
        <v>71.598999999999819</v>
      </c>
      <c r="K24" s="104">
        <f t="shared" si="9"/>
        <v>76.410000000000082</v>
      </c>
      <c r="L24" s="104">
        <f t="shared" si="9"/>
        <v>78.391000000000076</v>
      </c>
      <c r="M24" s="104">
        <f t="shared" si="9"/>
        <v>74.711999999999989</v>
      </c>
      <c r="N24" s="104">
        <f t="shared" si="9"/>
        <v>81.221000000000004</v>
      </c>
      <c r="O24" s="104">
        <f t="shared" si="9"/>
        <v>61.127999999999929</v>
      </c>
      <c r="P24" s="104">
        <f t="shared" si="9"/>
        <v>0</v>
      </c>
      <c r="Q24" s="104">
        <f t="shared" si="9"/>
        <v>0</v>
      </c>
      <c r="S24" s="88"/>
    </row>
    <row r="25" spans="1:19" s="3" customFormat="1">
      <c r="A25" s="169"/>
      <c r="B25" s="69" t="s">
        <v>35</v>
      </c>
      <c r="C25" s="106">
        <f t="shared" si="8"/>
        <v>734</v>
      </c>
      <c r="D25" s="106">
        <f t="shared" si="9"/>
        <v>1274</v>
      </c>
      <c r="E25" s="106">
        <f t="shared" si="9"/>
        <v>344</v>
      </c>
      <c r="F25" s="106">
        <f t="shared" si="9"/>
        <v>319</v>
      </c>
      <c r="G25" s="106">
        <f t="shared" si="9"/>
        <v>303</v>
      </c>
      <c r="H25" s="106">
        <f t="shared" si="9"/>
        <v>302</v>
      </c>
      <c r="I25" s="106">
        <f t="shared" si="9"/>
        <v>287.00000000000045</v>
      </c>
      <c r="J25" s="106">
        <f t="shared" si="9"/>
        <v>252.99999999999955</v>
      </c>
      <c r="K25" s="106">
        <f t="shared" si="9"/>
        <v>270</v>
      </c>
      <c r="L25" s="106">
        <f t="shared" si="9"/>
        <v>277</v>
      </c>
      <c r="M25" s="106">
        <f t="shared" si="9"/>
        <v>264</v>
      </c>
      <c r="N25" s="106">
        <f t="shared" si="9"/>
        <v>287</v>
      </c>
      <c r="O25" s="106">
        <f t="shared" si="9"/>
        <v>216</v>
      </c>
      <c r="P25" s="106">
        <f t="shared" si="9"/>
        <v>0</v>
      </c>
      <c r="Q25" s="106">
        <f t="shared" si="9"/>
        <v>0</v>
      </c>
    </row>
    <row r="26" spans="1:19" s="3" customFormat="1">
      <c r="A26" s="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</row>
    <row r="27" spans="1:19">
      <c r="A27" s="166" t="s">
        <v>41</v>
      </c>
      <c r="B27" s="90" t="s">
        <v>29</v>
      </c>
      <c r="C27" s="92">
        <f>943.2-300</f>
        <v>643.20000000000005</v>
      </c>
      <c r="D27" s="92">
        <v>1106</v>
      </c>
      <c r="E27" s="92">
        <v>1249.2</v>
      </c>
      <c r="F27" s="92">
        <v>1378.8</v>
      </c>
      <c r="G27" s="92">
        <v>1511.3999999999999</v>
      </c>
      <c r="H27" s="92">
        <v>1632</v>
      </c>
      <c r="I27" s="92">
        <v>1711.2</v>
      </c>
      <c r="J27" s="92">
        <v>1807.8</v>
      </c>
      <c r="K27" s="92">
        <v>1909.8</v>
      </c>
      <c r="L27" s="92">
        <v>2008.8</v>
      </c>
      <c r="M27" s="92">
        <v>2116.7999999999997</v>
      </c>
      <c r="N27" s="92">
        <v>2213.4</v>
      </c>
      <c r="O27" s="92">
        <v>2277</v>
      </c>
      <c r="P27" s="92">
        <v>2325</v>
      </c>
      <c r="Q27" s="92">
        <v>2565</v>
      </c>
    </row>
    <row r="28" spans="1:19">
      <c r="A28" s="166"/>
      <c r="B28" s="147" t="s">
        <v>36</v>
      </c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05"/>
    </row>
    <row r="29" spans="1:19">
      <c r="A29" s="166"/>
      <c r="B29" s="147" t="s">
        <v>37</v>
      </c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05"/>
    </row>
    <row r="30" spans="1:19">
      <c r="A30" s="166"/>
      <c r="B30" s="103" t="s">
        <v>38</v>
      </c>
      <c r="C30" s="138">
        <f>C27/100*21.1</f>
        <v>135.71520000000001</v>
      </c>
      <c r="D30" s="138">
        <f t="shared" ref="D30:Q30" si="10">D27/100*21.1</f>
        <v>233.36600000000001</v>
      </c>
      <c r="E30" s="138">
        <f t="shared" si="10"/>
        <v>263.58120000000002</v>
      </c>
      <c r="F30" s="138">
        <f t="shared" si="10"/>
        <v>290.92680000000001</v>
      </c>
      <c r="G30" s="138">
        <f t="shared" si="10"/>
        <v>318.90539999999999</v>
      </c>
      <c r="H30" s="138">
        <f t="shared" si="10"/>
        <v>344.35200000000003</v>
      </c>
      <c r="I30" s="138">
        <f t="shared" si="10"/>
        <v>361.06320000000005</v>
      </c>
      <c r="J30" s="138">
        <f t="shared" si="10"/>
        <v>381.44580000000002</v>
      </c>
      <c r="K30" s="138">
        <f t="shared" si="10"/>
        <v>402.96780000000001</v>
      </c>
      <c r="L30" s="138">
        <f t="shared" si="10"/>
        <v>423.85680000000002</v>
      </c>
      <c r="M30" s="138">
        <f t="shared" si="10"/>
        <v>446.64479999999992</v>
      </c>
      <c r="N30" s="138">
        <f t="shared" si="10"/>
        <v>467.02740000000006</v>
      </c>
      <c r="O30" s="138">
        <f t="shared" si="10"/>
        <v>480.447</v>
      </c>
      <c r="P30" s="138">
        <f t="shared" si="10"/>
        <v>490.57500000000005</v>
      </c>
      <c r="Q30" s="138">
        <f t="shared" si="10"/>
        <v>541.21500000000003</v>
      </c>
      <c r="R30" s="139"/>
      <c r="S30" s="105"/>
    </row>
    <row r="31" spans="1:19">
      <c r="A31" s="166"/>
      <c r="B31" s="103" t="s">
        <v>39</v>
      </c>
      <c r="C31" s="104">
        <f>C27/100*41.6</f>
        <v>267.57120000000003</v>
      </c>
      <c r="D31" s="104">
        <f t="shared" ref="D31:Q31" si="11">D27/100*41.6</f>
        <v>460.09600000000006</v>
      </c>
      <c r="E31" s="104">
        <f t="shared" si="11"/>
        <v>519.66720000000009</v>
      </c>
      <c r="F31" s="104">
        <f t="shared" si="11"/>
        <v>573.58080000000007</v>
      </c>
      <c r="G31" s="104">
        <f t="shared" si="11"/>
        <v>628.74239999999998</v>
      </c>
      <c r="H31" s="104">
        <f t="shared" si="11"/>
        <v>678.91200000000003</v>
      </c>
      <c r="I31" s="104">
        <f t="shared" si="11"/>
        <v>711.8592000000001</v>
      </c>
      <c r="J31" s="104">
        <f t="shared" si="11"/>
        <v>752.04480000000001</v>
      </c>
      <c r="K31" s="104">
        <f t="shared" si="11"/>
        <v>794.47680000000003</v>
      </c>
      <c r="L31" s="104">
        <f t="shared" si="11"/>
        <v>835.66080000000011</v>
      </c>
      <c r="M31" s="104">
        <f t="shared" si="11"/>
        <v>880.58879999999988</v>
      </c>
      <c r="N31" s="104">
        <f t="shared" si="11"/>
        <v>920.77440000000001</v>
      </c>
      <c r="O31" s="104">
        <f t="shared" si="11"/>
        <v>947.23199999999997</v>
      </c>
      <c r="P31" s="104">
        <f t="shared" si="11"/>
        <v>967.2</v>
      </c>
      <c r="Q31" s="104">
        <f t="shared" si="11"/>
        <v>1067.04</v>
      </c>
      <c r="R31" s="105"/>
      <c r="S31" s="105"/>
    </row>
    <row r="32" spans="1:19">
      <c r="A32" s="166"/>
      <c r="B32" s="103" t="s">
        <v>40</v>
      </c>
      <c r="C32" s="104">
        <f>C27/100*37.3</f>
        <v>239.9136</v>
      </c>
      <c r="D32" s="104">
        <f t="shared" ref="D32:Q32" si="12">D27/100*37.3</f>
        <v>412.53800000000001</v>
      </c>
      <c r="E32" s="104">
        <f t="shared" si="12"/>
        <v>465.95159999999998</v>
      </c>
      <c r="F32" s="104">
        <f t="shared" si="12"/>
        <v>514.29239999999993</v>
      </c>
      <c r="G32" s="104">
        <f t="shared" si="12"/>
        <v>563.7521999999999</v>
      </c>
      <c r="H32" s="104">
        <f t="shared" si="12"/>
        <v>608.73599999999999</v>
      </c>
      <c r="I32" s="104">
        <f t="shared" si="12"/>
        <v>638.27760000000001</v>
      </c>
      <c r="J32" s="104">
        <f t="shared" si="12"/>
        <v>674.30939999999998</v>
      </c>
      <c r="K32" s="104">
        <f t="shared" si="12"/>
        <v>712.35539999999992</v>
      </c>
      <c r="L32" s="104">
        <f t="shared" si="12"/>
        <v>749.28239999999994</v>
      </c>
      <c r="M32" s="104">
        <f t="shared" si="12"/>
        <v>789.56639999999982</v>
      </c>
      <c r="N32" s="104">
        <f t="shared" si="12"/>
        <v>825.59819999999991</v>
      </c>
      <c r="O32" s="104">
        <f t="shared" si="12"/>
        <v>849.32099999999991</v>
      </c>
      <c r="P32" s="104">
        <f t="shared" si="12"/>
        <v>867.22499999999991</v>
      </c>
      <c r="Q32" s="104">
        <f t="shared" si="12"/>
        <v>956.74499999999989</v>
      </c>
      <c r="R32" s="105"/>
      <c r="S32" s="105"/>
    </row>
    <row r="33" spans="1:18" s="3" customFormat="1">
      <c r="A33" s="166"/>
      <c r="B33" s="108" t="s">
        <v>35</v>
      </c>
      <c r="C33" s="106">
        <f>SUM(C28:C32)</f>
        <v>643.20000000000005</v>
      </c>
      <c r="D33" s="106">
        <f t="shared" ref="D33:Q33" si="13">SUM(D28:D32)</f>
        <v>1106</v>
      </c>
      <c r="E33" s="106">
        <f t="shared" si="13"/>
        <v>1249.2000000000003</v>
      </c>
      <c r="F33" s="106">
        <f t="shared" si="13"/>
        <v>1378.8000000000002</v>
      </c>
      <c r="G33" s="106">
        <f t="shared" si="13"/>
        <v>1511.3999999999999</v>
      </c>
      <c r="H33" s="106">
        <f t="shared" si="13"/>
        <v>1632</v>
      </c>
      <c r="I33" s="106">
        <f t="shared" si="13"/>
        <v>1711.2000000000003</v>
      </c>
      <c r="J33" s="106">
        <f t="shared" si="13"/>
        <v>1807.8000000000002</v>
      </c>
      <c r="K33" s="106">
        <f t="shared" si="13"/>
        <v>1909.8</v>
      </c>
      <c r="L33" s="106">
        <f t="shared" si="13"/>
        <v>2008.8000000000002</v>
      </c>
      <c r="M33" s="106">
        <f t="shared" si="13"/>
        <v>2116.7999999999997</v>
      </c>
      <c r="N33" s="106">
        <f t="shared" si="13"/>
        <v>2213.4</v>
      </c>
      <c r="O33" s="106">
        <f t="shared" si="13"/>
        <v>2277</v>
      </c>
      <c r="P33" s="106">
        <f t="shared" si="13"/>
        <v>2325</v>
      </c>
      <c r="Q33" s="106">
        <f t="shared" si="13"/>
        <v>2565</v>
      </c>
      <c r="R33" s="149"/>
    </row>
    <row r="35" spans="1:18">
      <c r="A35" s="170" t="s">
        <v>42</v>
      </c>
      <c r="B35" s="90" t="s">
        <v>29</v>
      </c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</row>
    <row r="36" spans="1:18">
      <c r="A36" s="170"/>
      <c r="B36" s="147" t="s">
        <v>36</v>
      </c>
      <c r="C36" s="148">
        <f>C28</f>
        <v>0</v>
      </c>
      <c r="D36" s="148">
        <f t="shared" ref="D36:Q36" si="14">D28-C28</f>
        <v>0</v>
      </c>
      <c r="E36" s="148">
        <f t="shared" si="14"/>
        <v>0</v>
      </c>
      <c r="F36" s="148">
        <f t="shared" si="14"/>
        <v>0</v>
      </c>
      <c r="G36" s="148">
        <f t="shared" si="14"/>
        <v>0</v>
      </c>
      <c r="H36" s="148">
        <f t="shared" si="14"/>
        <v>0</v>
      </c>
      <c r="I36" s="148">
        <f t="shared" si="14"/>
        <v>0</v>
      </c>
      <c r="J36" s="148">
        <f t="shared" si="14"/>
        <v>0</v>
      </c>
      <c r="K36" s="148">
        <f t="shared" si="14"/>
        <v>0</v>
      </c>
      <c r="L36" s="148">
        <f t="shared" si="14"/>
        <v>0</v>
      </c>
      <c r="M36" s="148">
        <f t="shared" si="14"/>
        <v>0</v>
      </c>
      <c r="N36" s="148">
        <f t="shared" si="14"/>
        <v>0</v>
      </c>
      <c r="O36" s="148">
        <f t="shared" si="14"/>
        <v>0</v>
      </c>
      <c r="P36" s="148">
        <f t="shared" si="14"/>
        <v>0</v>
      </c>
      <c r="Q36" s="148">
        <f t="shared" si="14"/>
        <v>0</v>
      </c>
      <c r="R36" s="105"/>
    </row>
    <row r="37" spans="1:18">
      <c r="A37" s="170"/>
      <c r="B37" s="147" t="s">
        <v>37</v>
      </c>
      <c r="C37" s="148">
        <f>C29</f>
        <v>0</v>
      </c>
      <c r="D37" s="148">
        <f t="shared" ref="D37:Q40" si="15">D29-C29</f>
        <v>0</v>
      </c>
      <c r="E37" s="148">
        <f t="shared" si="15"/>
        <v>0</v>
      </c>
      <c r="F37" s="148">
        <f t="shared" si="15"/>
        <v>0</v>
      </c>
      <c r="G37" s="148">
        <f t="shared" si="15"/>
        <v>0</v>
      </c>
      <c r="H37" s="148">
        <f t="shared" si="15"/>
        <v>0</v>
      </c>
      <c r="I37" s="148">
        <f t="shared" si="15"/>
        <v>0</v>
      </c>
      <c r="J37" s="148">
        <f t="shared" si="15"/>
        <v>0</v>
      </c>
      <c r="K37" s="148">
        <f t="shared" si="15"/>
        <v>0</v>
      </c>
      <c r="L37" s="148">
        <f t="shared" si="15"/>
        <v>0</v>
      </c>
      <c r="M37" s="148">
        <f t="shared" si="15"/>
        <v>0</v>
      </c>
      <c r="N37" s="148">
        <f t="shared" si="15"/>
        <v>0</v>
      </c>
      <c r="O37" s="148">
        <f t="shared" si="15"/>
        <v>0</v>
      </c>
      <c r="P37" s="148">
        <f t="shared" si="15"/>
        <v>0</v>
      </c>
      <c r="Q37" s="148">
        <f t="shared" si="15"/>
        <v>0</v>
      </c>
      <c r="R37" s="105"/>
    </row>
    <row r="38" spans="1:18">
      <c r="A38" s="170"/>
      <c r="B38" s="103" t="s">
        <v>38</v>
      </c>
      <c r="C38" s="138">
        <f>C30</f>
        <v>135.71520000000001</v>
      </c>
      <c r="D38" s="138">
        <f t="shared" si="15"/>
        <v>97.650800000000004</v>
      </c>
      <c r="E38" s="138">
        <f t="shared" si="15"/>
        <v>30.21520000000001</v>
      </c>
      <c r="F38" s="138">
        <f t="shared" si="15"/>
        <v>27.34559999999999</v>
      </c>
      <c r="G38" s="138">
        <f t="shared" si="15"/>
        <v>27.978599999999972</v>
      </c>
      <c r="H38" s="138">
        <f t="shared" si="15"/>
        <v>25.446600000000046</v>
      </c>
      <c r="I38" s="138">
        <f t="shared" si="15"/>
        <v>16.711200000000019</v>
      </c>
      <c r="J38" s="138">
        <f t="shared" si="15"/>
        <v>20.382599999999968</v>
      </c>
      <c r="K38" s="138">
        <f t="shared" si="15"/>
        <v>21.521999999999991</v>
      </c>
      <c r="L38" s="138">
        <f t="shared" si="15"/>
        <v>20.88900000000001</v>
      </c>
      <c r="M38" s="138">
        <f t="shared" si="15"/>
        <v>22.787999999999897</v>
      </c>
      <c r="N38" s="138">
        <f t="shared" si="15"/>
        <v>20.382600000000139</v>
      </c>
      <c r="O38" s="138">
        <f t="shared" si="15"/>
        <v>13.419599999999946</v>
      </c>
      <c r="P38" s="138">
        <f t="shared" si="15"/>
        <v>10.128000000000043</v>
      </c>
      <c r="Q38" s="138">
        <f t="shared" si="15"/>
        <v>50.639999999999986</v>
      </c>
      <c r="R38" s="105"/>
    </row>
    <row r="39" spans="1:18">
      <c r="A39" s="170"/>
      <c r="B39" s="103" t="s">
        <v>39</v>
      </c>
      <c r="C39" s="104">
        <f>C31</f>
        <v>267.57120000000003</v>
      </c>
      <c r="D39" s="104">
        <f t="shared" si="15"/>
        <v>192.52480000000003</v>
      </c>
      <c r="E39" s="104">
        <f t="shared" si="15"/>
        <v>59.571200000000033</v>
      </c>
      <c r="F39" s="104">
        <f t="shared" si="15"/>
        <v>53.913599999999974</v>
      </c>
      <c r="G39" s="104">
        <f t="shared" si="15"/>
        <v>55.161599999999908</v>
      </c>
      <c r="H39" s="104">
        <f t="shared" si="15"/>
        <v>50.169600000000059</v>
      </c>
      <c r="I39" s="104">
        <f t="shared" si="15"/>
        <v>32.947200000000066</v>
      </c>
      <c r="J39" s="104">
        <f t="shared" si="15"/>
        <v>40.185599999999909</v>
      </c>
      <c r="K39" s="104">
        <f t="shared" si="15"/>
        <v>42.432000000000016</v>
      </c>
      <c r="L39" s="104">
        <f t="shared" si="15"/>
        <v>41.184000000000083</v>
      </c>
      <c r="M39" s="104">
        <f t="shared" si="15"/>
        <v>44.92799999999977</v>
      </c>
      <c r="N39" s="104">
        <f t="shared" si="15"/>
        <v>40.185600000000136</v>
      </c>
      <c r="O39" s="104">
        <f t="shared" si="15"/>
        <v>26.457599999999957</v>
      </c>
      <c r="P39" s="104">
        <f t="shared" si="15"/>
        <v>19.968000000000075</v>
      </c>
      <c r="Q39" s="104">
        <f t="shared" si="15"/>
        <v>99.839999999999918</v>
      </c>
      <c r="R39" s="105"/>
    </row>
    <row r="40" spans="1:18">
      <c r="A40" s="170"/>
      <c r="B40" s="103" t="s">
        <v>40</v>
      </c>
      <c r="C40" s="104">
        <f>C32</f>
        <v>239.9136</v>
      </c>
      <c r="D40" s="104">
        <f t="shared" si="15"/>
        <v>172.62440000000001</v>
      </c>
      <c r="E40" s="104">
        <f t="shared" si="15"/>
        <v>53.413599999999974</v>
      </c>
      <c r="F40" s="104">
        <f t="shared" si="15"/>
        <v>48.340799999999945</v>
      </c>
      <c r="G40" s="104">
        <f t="shared" si="15"/>
        <v>49.459799999999973</v>
      </c>
      <c r="H40" s="104">
        <f t="shared" si="15"/>
        <v>44.983800000000087</v>
      </c>
      <c r="I40" s="104">
        <f t="shared" si="15"/>
        <v>29.541600000000017</v>
      </c>
      <c r="J40" s="104">
        <f t="shared" si="15"/>
        <v>36.031799999999976</v>
      </c>
      <c r="K40" s="104">
        <f t="shared" si="15"/>
        <v>38.045999999999935</v>
      </c>
      <c r="L40" s="104">
        <f t="shared" si="15"/>
        <v>36.927000000000021</v>
      </c>
      <c r="M40" s="104">
        <f t="shared" si="15"/>
        <v>40.283999999999878</v>
      </c>
      <c r="N40" s="104">
        <f t="shared" si="15"/>
        <v>36.031800000000089</v>
      </c>
      <c r="O40" s="104">
        <f t="shared" si="15"/>
        <v>23.722800000000007</v>
      </c>
      <c r="P40" s="104">
        <f t="shared" si="15"/>
        <v>17.903999999999996</v>
      </c>
      <c r="Q40" s="104">
        <f t="shared" si="15"/>
        <v>89.519999999999982</v>
      </c>
      <c r="R40" s="105"/>
    </row>
    <row r="41" spans="1:18" s="3" customFormat="1">
      <c r="A41" s="170"/>
      <c r="B41" s="108" t="s">
        <v>35</v>
      </c>
      <c r="C41" s="106">
        <f>SUM(C36:C40)</f>
        <v>643.20000000000005</v>
      </c>
      <c r="D41" s="106">
        <f t="shared" ref="D41:Q41" si="16">SUM(D36:D40)</f>
        <v>462.80000000000007</v>
      </c>
      <c r="E41" s="106">
        <f t="shared" si="16"/>
        <v>143.20000000000002</v>
      </c>
      <c r="F41" s="106">
        <f t="shared" si="16"/>
        <v>129.59999999999991</v>
      </c>
      <c r="G41" s="106">
        <f t="shared" si="16"/>
        <v>132.59999999999985</v>
      </c>
      <c r="H41" s="106">
        <f t="shared" si="16"/>
        <v>120.60000000000019</v>
      </c>
      <c r="I41" s="106">
        <f t="shared" si="16"/>
        <v>79.200000000000102</v>
      </c>
      <c r="J41" s="106">
        <f t="shared" si="16"/>
        <v>96.599999999999852</v>
      </c>
      <c r="K41" s="106">
        <f t="shared" si="16"/>
        <v>101.99999999999994</v>
      </c>
      <c r="L41" s="106">
        <f t="shared" si="16"/>
        <v>99.000000000000114</v>
      </c>
      <c r="M41" s="106">
        <f t="shared" si="16"/>
        <v>107.99999999999955</v>
      </c>
      <c r="N41" s="106">
        <f t="shared" si="16"/>
        <v>96.600000000000364</v>
      </c>
      <c r="O41" s="106">
        <f t="shared" si="16"/>
        <v>63.599999999999909</v>
      </c>
      <c r="P41" s="106">
        <f t="shared" si="16"/>
        <v>48.000000000000114</v>
      </c>
      <c r="Q41" s="106">
        <f t="shared" si="16"/>
        <v>239.99999999999989</v>
      </c>
    </row>
  </sheetData>
  <mergeCells count="5">
    <mergeCell ref="A4:A7"/>
    <mergeCell ref="A11:A17"/>
    <mergeCell ref="A19:A25"/>
    <mergeCell ref="A27:A33"/>
    <mergeCell ref="A35:A41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V36"/>
  <sheetViews>
    <sheetView tabSelected="1" workbookViewId="0">
      <selection activeCell="D8" sqref="D8:D9"/>
    </sheetView>
  </sheetViews>
  <sheetFormatPr defaultRowHeight="12.75"/>
  <cols>
    <col min="1" max="1" width="6.5703125" style="6" customWidth="1"/>
    <col min="2" max="2" width="13.28515625" style="1" customWidth="1"/>
    <col min="3" max="3" width="8.7109375" style="1" customWidth="1"/>
    <col min="4" max="4" width="10.42578125" style="1" customWidth="1"/>
    <col min="5" max="5" width="10.42578125" style="4" customWidth="1"/>
    <col min="6" max="6" width="29.7109375" style="1" customWidth="1"/>
    <col min="7" max="7" width="6" style="5" customWidth="1"/>
    <col min="8" max="22" width="6.28515625" style="5" customWidth="1"/>
    <col min="23" max="16384" width="9.140625" style="1"/>
  </cols>
  <sheetData>
    <row r="1" spans="1:22" ht="21.75" customHeight="1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</row>
    <row r="2" spans="1:22" ht="6" customHeight="1">
      <c r="A2" s="2"/>
      <c r="B2" s="3"/>
    </row>
    <row r="3" spans="1:22">
      <c r="C3" s="7"/>
      <c r="D3" s="7"/>
      <c r="E3" s="8"/>
      <c r="G3" s="172" t="s">
        <v>1</v>
      </c>
      <c r="H3" s="173"/>
      <c r="I3" s="173"/>
      <c r="J3" s="173"/>
      <c r="K3" s="173"/>
      <c r="L3" s="173"/>
      <c r="M3" s="174"/>
      <c r="N3" s="174"/>
      <c r="O3" s="174"/>
      <c r="P3" s="174"/>
      <c r="Q3" s="174"/>
      <c r="R3" s="174"/>
      <c r="S3" s="174"/>
      <c r="T3" s="174"/>
      <c r="U3" s="174"/>
      <c r="V3" s="175"/>
    </row>
    <row r="4" spans="1:22" ht="76.5">
      <c r="A4" s="9" t="s">
        <v>2</v>
      </c>
      <c r="B4" s="10" t="s">
        <v>3</v>
      </c>
      <c r="C4" s="9" t="s">
        <v>4</v>
      </c>
      <c r="D4" s="9" t="s">
        <v>5</v>
      </c>
      <c r="E4" s="11" t="s">
        <v>6</v>
      </c>
      <c r="F4" s="10" t="s">
        <v>7</v>
      </c>
      <c r="G4" s="10">
        <v>2020</v>
      </c>
      <c r="H4" s="10">
        <v>2021</v>
      </c>
      <c r="I4" s="10">
        <v>2022</v>
      </c>
      <c r="J4" s="10">
        <v>2023</v>
      </c>
      <c r="K4" s="10">
        <v>2024</v>
      </c>
      <c r="L4" s="10">
        <v>2025</v>
      </c>
      <c r="M4" s="10">
        <v>2026</v>
      </c>
      <c r="N4" s="10">
        <v>2027</v>
      </c>
      <c r="O4" s="10">
        <v>2028</v>
      </c>
      <c r="P4" s="10">
        <v>2029</v>
      </c>
      <c r="Q4" s="10">
        <v>2030</v>
      </c>
      <c r="R4" s="10">
        <v>2031</v>
      </c>
      <c r="S4" s="10">
        <v>2032</v>
      </c>
      <c r="T4" s="10">
        <v>2033</v>
      </c>
      <c r="U4" s="10">
        <v>2034</v>
      </c>
      <c r="V4" s="10">
        <v>2035</v>
      </c>
    </row>
    <row r="5" spans="1:22">
      <c r="A5" s="176" t="s">
        <v>8</v>
      </c>
      <c r="B5" s="177" t="s">
        <v>9</v>
      </c>
      <c r="C5" s="12">
        <v>7650</v>
      </c>
      <c r="D5" s="12">
        <v>600</v>
      </c>
      <c r="E5" s="13">
        <f>D5+C5</f>
        <v>8250</v>
      </c>
      <c r="F5" s="14" t="s">
        <v>10</v>
      </c>
      <c r="G5" s="180">
        <v>1633</v>
      </c>
      <c r="H5" s="15">
        <v>2450</v>
      </c>
      <c r="I5" s="15">
        <v>2932</v>
      </c>
      <c r="J5" s="15">
        <v>3425</v>
      </c>
      <c r="K5" s="15">
        <v>3928</v>
      </c>
      <c r="L5" s="15">
        <v>4442</v>
      </c>
      <c r="M5" s="15">
        <v>4967</v>
      </c>
      <c r="N5" s="15">
        <v>5502</v>
      </c>
      <c r="O5" s="15">
        <v>6046</v>
      </c>
      <c r="P5" s="15">
        <v>6600</v>
      </c>
      <c r="Q5" s="15">
        <v>7162</v>
      </c>
      <c r="R5" s="15">
        <v>7773</v>
      </c>
      <c r="S5" s="15">
        <v>8352</v>
      </c>
      <c r="T5" s="15">
        <v>8939</v>
      </c>
      <c r="U5" s="15">
        <v>9534</v>
      </c>
      <c r="V5" s="15">
        <v>10137</v>
      </c>
    </row>
    <row r="6" spans="1:22">
      <c r="A6" s="176"/>
      <c r="B6" s="177"/>
      <c r="C6" s="12"/>
      <c r="D6" s="12"/>
      <c r="E6" s="13"/>
      <c r="F6" s="16" t="s">
        <v>11</v>
      </c>
      <c r="G6" s="181">
        <f>G5/3076</f>
        <v>0.53088426527958388</v>
      </c>
      <c r="H6" s="17">
        <f>H5/3076</f>
        <v>0.79648894668400516</v>
      </c>
      <c r="I6" s="17">
        <f t="shared" ref="I6:V6" si="0">I5/3076</f>
        <v>0.95318595578673604</v>
      </c>
      <c r="J6" s="17">
        <f t="shared" si="0"/>
        <v>1.1134590377113134</v>
      </c>
      <c r="K6" s="17">
        <f t="shared" si="0"/>
        <v>1.2769830949284786</v>
      </c>
      <c r="L6" s="17">
        <f t="shared" si="0"/>
        <v>1.4440832249674902</v>
      </c>
      <c r="M6" s="17">
        <f t="shared" si="0"/>
        <v>1.6147594278283486</v>
      </c>
      <c r="N6" s="17">
        <f t="shared" si="0"/>
        <v>1.7886866059817945</v>
      </c>
      <c r="O6" s="17">
        <f t="shared" si="0"/>
        <v>1.9655396618985697</v>
      </c>
      <c r="P6" s="17">
        <f t="shared" si="0"/>
        <v>2.1456436931079326</v>
      </c>
      <c r="Q6" s="17">
        <f t="shared" si="0"/>
        <v>2.3283485045513652</v>
      </c>
      <c r="R6" s="17">
        <f t="shared" si="0"/>
        <v>2.5269830949284784</v>
      </c>
      <c r="S6" s="17">
        <f t="shared" si="0"/>
        <v>2.7152145643693109</v>
      </c>
      <c r="T6" s="17">
        <f t="shared" si="0"/>
        <v>2.9060468140442133</v>
      </c>
      <c r="U6" s="17">
        <f t="shared" si="0"/>
        <v>3.0994798439531861</v>
      </c>
      <c r="V6" s="17">
        <f t="shared" si="0"/>
        <v>3.2955136540962289</v>
      </c>
    </row>
    <row r="7" spans="1:22" ht="6" customHeight="1">
      <c r="A7" s="18"/>
      <c r="B7" s="19"/>
      <c r="C7" s="20"/>
      <c r="D7" s="20"/>
      <c r="E7" s="21"/>
      <c r="F7" s="22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</row>
    <row r="8" spans="1:22" ht="21.75" customHeight="1">
      <c r="A8" s="170" t="s">
        <v>12</v>
      </c>
      <c r="B8" s="178" t="s">
        <v>13</v>
      </c>
      <c r="C8" s="182">
        <v>3803</v>
      </c>
      <c r="D8" s="183" t="s">
        <v>14</v>
      </c>
      <c r="E8" s="184"/>
      <c r="F8" s="23" t="s">
        <v>15</v>
      </c>
      <c r="G8" s="185"/>
      <c r="H8" s="27">
        <f>'[1]Ortho Summary'!F5</f>
        <v>375.96780000000035</v>
      </c>
      <c r="I8" s="27">
        <f>'[1]Ortho Summary'!G5</f>
        <v>442.48769999999973</v>
      </c>
      <c r="J8" s="27">
        <f>'[1]Ortho Summary'!H5</f>
        <v>506.90879999999981</v>
      </c>
      <c r="K8" s="27">
        <f>'[1]Ortho Summary'!I5</f>
        <v>569.91525000000036</v>
      </c>
      <c r="L8" s="27">
        <f>'[1]Ortho Summary'!J5</f>
        <v>634.44150000000002</v>
      </c>
      <c r="M8" s="27">
        <f>'[1]Ortho Summary'!K5</f>
        <v>696.09339999999975</v>
      </c>
      <c r="N8" s="27">
        <f>'[1]Ortho Summary'!L5</f>
        <v>747.56300000000033</v>
      </c>
      <c r="O8" s="27">
        <f>'[1]Ortho Summary'!M5</f>
        <v>804.92054999999982</v>
      </c>
      <c r="P8" s="27">
        <f>'[1]Ortho Summary'!N5</f>
        <v>865.28090000000043</v>
      </c>
      <c r="Q8" s="27">
        <f>'[1]Ortho Summary'!O5</f>
        <v>924.24149999999975</v>
      </c>
      <c r="R8" s="27">
        <f>'[1]Ortho Summary'!P5</f>
        <v>987.04800000000023</v>
      </c>
      <c r="S8" s="27">
        <f>'[1]Ortho Summary'!Q5</f>
        <v>1047.0218500000001</v>
      </c>
      <c r="T8" s="27">
        <f>'[1]Ortho Summary'!R5</f>
        <v>1097.9490999999994</v>
      </c>
      <c r="U8" s="27">
        <f>'[1]Ortho Summary'!V5</f>
        <v>1187</v>
      </c>
      <c r="V8" s="27">
        <f>U8</f>
        <v>1187</v>
      </c>
    </row>
    <row r="9" spans="1:22" ht="21.75" customHeight="1">
      <c r="A9" s="170"/>
      <c r="B9" s="178"/>
      <c r="C9" s="182"/>
      <c r="D9" s="183"/>
      <c r="E9" s="184"/>
      <c r="F9" s="23" t="s">
        <v>16</v>
      </c>
      <c r="G9" s="186"/>
      <c r="H9" s="27">
        <f>'[1]Ortho Summary'!F11</f>
        <v>428.45110000000011</v>
      </c>
      <c r="I9" s="27">
        <f>'[1]Ortho Summary'!G11</f>
        <v>505.76410000000055</v>
      </c>
      <c r="J9" s="27">
        <f>'[1]Ortho Summary'!H11</f>
        <v>580.0055999999995</v>
      </c>
      <c r="K9" s="27">
        <f>'[1]Ortho Summary'!I11</f>
        <v>652.5641499999997</v>
      </c>
      <c r="L9" s="27">
        <f>'[1]Ortho Summary'!J11</f>
        <v>727.09800000000098</v>
      </c>
      <c r="M9" s="27">
        <f>'[1]Ortho Summary'!K11</f>
        <v>797.01089999999886</v>
      </c>
      <c r="N9" s="27">
        <f>'[1]Ortho Summary'!L11</f>
        <v>851.70380000000068</v>
      </c>
      <c r="O9" s="27">
        <f>'[1]Ortho Summary'!M11</f>
        <v>914.05825000000004</v>
      </c>
      <c r="P9" s="27">
        <f>'[1]Ortho Summary'!N11</f>
        <v>980.19979999999919</v>
      </c>
      <c r="Q9" s="27">
        <f>'[1]Ortho Summary'!O11</f>
        <v>1044.3135000000002</v>
      </c>
      <c r="R9" s="27">
        <f>'[1]Ortho Summary'!P11</f>
        <v>1112.5000000000005</v>
      </c>
      <c r="S9" s="27">
        <f>'[1]Ortho Summary'!Q11</f>
        <v>1176.5573000000002</v>
      </c>
      <c r="T9" s="27">
        <f>'[1]Ortho Summary'!R11</f>
        <v>1228.3564000000006</v>
      </c>
      <c r="U9" s="27">
        <f>'[1]Ortho Summary'!V11</f>
        <v>1318</v>
      </c>
      <c r="V9" s="27">
        <f t="shared" ref="V9:V14" si="1">U9</f>
        <v>1318</v>
      </c>
    </row>
    <row r="10" spans="1:22">
      <c r="A10" s="170"/>
      <c r="B10" s="178"/>
      <c r="C10" s="182"/>
      <c r="D10" s="185"/>
      <c r="E10" s="187"/>
      <c r="F10" s="23" t="s">
        <v>17</v>
      </c>
      <c r="G10" s="31"/>
      <c r="H10" s="27">
        <f>'[1]Ortho Summary'!F22</f>
        <v>217</v>
      </c>
      <c r="I10" s="27">
        <f>'[1]Ortho Summary'!G22</f>
        <v>234</v>
      </c>
      <c r="J10" s="27">
        <f>'[1]Ortho Summary'!H22</f>
        <v>251</v>
      </c>
      <c r="K10" s="27">
        <f>'[1]Ortho Summary'!I22</f>
        <v>268</v>
      </c>
      <c r="L10" s="27">
        <f>'[1]Ortho Summary'!J22</f>
        <v>287</v>
      </c>
      <c r="M10" s="27">
        <f>'[1]Ortho Summary'!K22</f>
        <v>290</v>
      </c>
      <c r="N10" s="27">
        <f>'[1]Ortho Summary'!L22</f>
        <v>290</v>
      </c>
      <c r="O10" s="27">
        <f>'[1]Ortho Summary'!M22</f>
        <v>293</v>
      </c>
      <c r="P10" s="27">
        <f>'[1]Ortho Summary'!N22</f>
        <v>296</v>
      </c>
      <c r="Q10" s="27">
        <f>'[1]Ortho Summary'!O22</f>
        <v>302</v>
      </c>
      <c r="R10" s="27">
        <f>'[1]Ortho Summary'!P22</f>
        <v>303</v>
      </c>
      <c r="S10" s="27">
        <f>'[1]Ortho Summary'!Q22</f>
        <v>304</v>
      </c>
      <c r="T10" s="27">
        <f>'[1]Ortho Summary'!R22</f>
        <v>305</v>
      </c>
      <c r="U10" s="27">
        <f>'[1]Ortho Summary'!V22</f>
        <v>305</v>
      </c>
      <c r="V10" s="27">
        <f t="shared" si="1"/>
        <v>305</v>
      </c>
    </row>
    <row r="11" spans="1:22" s="30" customFormat="1">
      <c r="A11" s="170"/>
      <c r="B11" s="178"/>
      <c r="C11" s="29"/>
      <c r="D11" s="29"/>
      <c r="E11" s="188"/>
      <c r="F11" s="28" t="s">
        <v>11</v>
      </c>
      <c r="G11" s="29"/>
      <c r="H11" s="29"/>
      <c r="I11" s="29">
        <v>1.9</v>
      </c>
      <c r="J11" s="29">
        <v>2.1</v>
      </c>
      <c r="K11" s="29">
        <v>2.2999999999999998</v>
      </c>
      <c r="L11" s="29">
        <v>2.6</v>
      </c>
      <c r="M11" s="29">
        <v>2.8</v>
      </c>
      <c r="N11" s="29">
        <v>2.9</v>
      </c>
      <c r="O11" s="29">
        <v>3</v>
      </c>
      <c r="P11" s="29">
        <v>3.2</v>
      </c>
      <c r="Q11" s="29">
        <v>3.4</v>
      </c>
      <c r="R11" s="29">
        <v>3.6</v>
      </c>
      <c r="S11" s="29">
        <v>3.8</v>
      </c>
      <c r="T11" s="29">
        <v>4</v>
      </c>
      <c r="U11" s="29">
        <v>4.0999999999999996</v>
      </c>
      <c r="V11" s="29">
        <v>4.0999999999999996</v>
      </c>
    </row>
    <row r="12" spans="1:22">
      <c r="A12" s="170"/>
      <c r="B12" s="178"/>
      <c r="C12" s="31">
        <v>551</v>
      </c>
      <c r="D12" s="31"/>
      <c r="E12" s="32"/>
      <c r="F12" s="23" t="s">
        <v>18</v>
      </c>
      <c r="G12" s="31"/>
      <c r="H12" s="27">
        <f>'[1]Ortho Summary'!F39</f>
        <v>186.08500000000004</v>
      </c>
      <c r="I12" s="27">
        <f>'[1]Ortho Summary'!G39</f>
        <v>218.15575000000035</v>
      </c>
      <c r="J12" s="27">
        <f>'[1]Ortho Summary'!H39</f>
        <v>246.6216000000004</v>
      </c>
      <c r="K12" s="27">
        <f>'[1]Ortho Summary'!I39</f>
        <v>273.00635000000011</v>
      </c>
      <c r="L12" s="27">
        <f>'[1]Ortho Summary'!J39</f>
        <v>300.34450000000015</v>
      </c>
      <c r="M12" s="27">
        <f>'[1]Ortho Summary'!K39</f>
        <v>326.21129999999994</v>
      </c>
      <c r="N12" s="27">
        <f>'[1]Ortho Summary'!L39</f>
        <v>344.48940000000039</v>
      </c>
      <c r="O12" s="27">
        <f>'[1]Ortho Summary'!M39</f>
        <v>365.87995000000046</v>
      </c>
      <c r="P12" s="27">
        <f>'[1]Ortho Summary'!N39</f>
        <v>387.9976999999999</v>
      </c>
      <c r="Q12" s="27">
        <f>'[1]Ortho Summary'!O39</f>
        <v>410.9060000000004</v>
      </c>
      <c r="R12" s="27">
        <f>'[1]Ortho Summary'!P39</f>
        <v>434.53960000000006</v>
      </c>
      <c r="S12" s="27">
        <f>'[1]Ortho Summary'!Q39</f>
        <v>457.42134999999917</v>
      </c>
      <c r="T12" s="27">
        <f>'[1]Ortho Summary'!R39</f>
        <v>476.5643</v>
      </c>
      <c r="U12" s="27">
        <f>'[1]Ortho Summary'!V39</f>
        <v>457</v>
      </c>
      <c r="V12" s="27">
        <f t="shared" si="1"/>
        <v>457</v>
      </c>
    </row>
    <row r="13" spans="1:22">
      <c r="A13" s="170"/>
      <c r="B13" s="178"/>
      <c r="C13" s="31"/>
      <c r="D13" s="31"/>
      <c r="E13" s="32"/>
      <c r="F13" s="28" t="s">
        <v>11</v>
      </c>
      <c r="G13" s="31"/>
      <c r="H13" s="27"/>
      <c r="I13" s="29">
        <v>0.2</v>
      </c>
      <c r="J13" s="29">
        <v>0.2</v>
      </c>
      <c r="K13" s="29">
        <v>0.2</v>
      </c>
      <c r="L13" s="29">
        <v>0.2</v>
      </c>
      <c r="M13" s="29">
        <v>0.3</v>
      </c>
      <c r="N13" s="29">
        <v>0.3</v>
      </c>
      <c r="O13" s="29">
        <v>0.3</v>
      </c>
      <c r="P13" s="29">
        <v>0.3</v>
      </c>
      <c r="Q13" s="29">
        <v>0.3</v>
      </c>
      <c r="R13" s="29">
        <v>0.3</v>
      </c>
      <c r="S13" s="29">
        <v>0.4</v>
      </c>
      <c r="T13" s="29">
        <v>0.4</v>
      </c>
      <c r="U13" s="29">
        <v>0.4</v>
      </c>
      <c r="V13" s="29">
        <v>0.4</v>
      </c>
    </row>
    <row r="14" spans="1:22">
      <c r="A14" s="170"/>
      <c r="B14" s="178"/>
      <c r="C14" s="31">
        <v>875</v>
      </c>
      <c r="D14" s="31"/>
      <c r="E14" s="32"/>
      <c r="F14" s="23" t="s">
        <v>19</v>
      </c>
      <c r="G14" s="31"/>
      <c r="H14" s="27">
        <f>'[1]Ortho Summary'!F33</f>
        <v>328.92640000000029</v>
      </c>
      <c r="I14" s="27">
        <f>'[1]Ortho Summary'!G33</f>
        <v>381.77444999999989</v>
      </c>
      <c r="J14" s="27">
        <f>'[1]Ortho Summary'!H33</f>
        <v>430.20800000000054</v>
      </c>
      <c r="K14" s="27">
        <f>'[1]Ortho Summary'!I33</f>
        <v>476.15610000000106</v>
      </c>
      <c r="L14" s="27">
        <f>'[1]Ortho Summary'!J33</f>
        <v>522.73049999999967</v>
      </c>
      <c r="M14" s="27">
        <f>'[1]Ortho Summary'!K33</f>
        <v>567.16329999999834</v>
      </c>
      <c r="N14" s="27">
        <f>'[1]Ortho Summary'!L33</f>
        <v>603.80380000000059</v>
      </c>
      <c r="O14" s="27">
        <f>'[1]Ortho Summary'!M33</f>
        <v>643.5092999999988</v>
      </c>
      <c r="P14" s="27">
        <f>'[1]Ortho Summary'!N33</f>
        <v>684.51379999999972</v>
      </c>
      <c r="Q14" s="27">
        <f>'[1]Ortho Summary'!O33</f>
        <v>726.08175000000119</v>
      </c>
      <c r="R14" s="27">
        <f>'[1]Ortho Summary'!P33</f>
        <v>768.8135999999995</v>
      </c>
      <c r="S14" s="27">
        <f>'[1]Ortho Summary'!Q33</f>
        <v>809.88135000000057</v>
      </c>
      <c r="T14" s="27">
        <f>'[1]Ortho Summary'!R33</f>
        <v>845.75059999999939</v>
      </c>
      <c r="U14" s="27">
        <f>'[1]Ortho Summary'!V33</f>
        <v>846</v>
      </c>
      <c r="V14" s="27">
        <f t="shared" si="1"/>
        <v>846</v>
      </c>
    </row>
    <row r="15" spans="1:22">
      <c r="A15" s="170"/>
      <c r="B15" s="178"/>
      <c r="C15" s="31"/>
      <c r="D15" s="31"/>
      <c r="E15" s="32"/>
      <c r="F15" s="28" t="s">
        <v>11</v>
      </c>
      <c r="G15" s="31"/>
      <c r="H15" s="27"/>
      <c r="I15" s="29">
        <v>0.2</v>
      </c>
      <c r="J15" s="29">
        <v>0.2</v>
      </c>
      <c r="K15" s="29">
        <v>0.2</v>
      </c>
      <c r="L15" s="29">
        <v>0.3</v>
      </c>
      <c r="M15" s="29">
        <v>0.4</v>
      </c>
      <c r="N15" s="29">
        <v>0.4</v>
      </c>
      <c r="O15" s="29">
        <v>0.4</v>
      </c>
      <c r="P15" s="29">
        <v>0.4</v>
      </c>
      <c r="Q15" s="29">
        <v>0.4</v>
      </c>
      <c r="R15" s="29">
        <v>0.4</v>
      </c>
      <c r="S15" s="29">
        <v>0.5</v>
      </c>
      <c r="T15" s="29">
        <v>0.5</v>
      </c>
      <c r="U15" s="29">
        <v>0.5</v>
      </c>
      <c r="V15" s="29">
        <v>0.5</v>
      </c>
    </row>
    <row r="16" spans="1:22">
      <c r="A16" s="170"/>
      <c r="B16" s="178"/>
      <c r="C16" s="31">
        <v>681</v>
      </c>
      <c r="D16" s="31"/>
      <c r="E16" s="32"/>
      <c r="F16" s="23" t="s">
        <v>20</v>
      </c>
      <c r="G16" s="31"/>
      <c r="H16" s="27" t="s">
        <v>21</v>
      </c>
      <c r="I16" s="27" t="s">
        <v>21</v>
      </c>
      <c r="J16" s="27" t="s">
        <v>21</v>
      </c>
      <c r="K16" s="27" t="s">
        <v>21</v>
      </c>
      <c r="L16" s="27" t="s">
        <v>21</v>
      </c>
      <c r="M16" s="27" t="s">
        <v>21</v>
      </c>
      <c r="N16" s="27" t="s">
        <v>21</v>
      </c>
      <c r="O16" s="27" t="s">
        <v>21</v>
      </c>
      <c r="P16" s="27" t="s">
        <v>21</v>
      </c>
      <c r="Q16" s="27" t="s">
        <v>21</v>
      </c>
      <c r="R16" s="27" t="s">
        <v>21</v>
      </c>
      <c r="S16" s="27" t="s">
        <v>21</v>
      </c>
      <c r="T16" s="27" t="s">
        <v>21</v>
      </c>
      <c r="U16" s="27" t="s">
        <v>21</v>
      </c>
      <c r="V16" s="27" t="s">
        <v>21</v>
      </c>
    </row>
    <row r="17" spans="1:22">
      <c r="A17" s="170"/>
      <c r="B17" s="178"/>
      <c r="C17" s="33">
        <f>SUM(C8:C16)</f>
        <v>5910</v>
      </c>
      <c r="D17" s="33"/>
      <c r="E17" s="34">
        <f>C17+200</f>
        <v>6110</v>
      </c>
      <c r="F17" s="35" t="s">
        <v>22</v>
      </c>
      <c r="G17" s="36"/>
      <c r="H17" s="33">
        <f>SUM(H8:H14)</f>
        <v>1536.4303000000009</v>
      </c>
      <c r="I17" s="33">
        <f t="shared" ref="I17:V17" si="2">SUM(I8:I14)</f>
        <v>1784.2820000000006</v>
      </c>
      <c r="J17" s="33">
        <f t="shared" si="2"/>
        <v>2017.0440000000001</v>
      </c>
      <c r="K17" s="33">
        <f t="shared" si="2"/>
        <v>2242.1418500000013</v>
      </c>
      <c r="L17" s="33">
        <f t="shared" si="2"/>
        <v>2474.4145000000008</v>
      </c>
      <c r="M17" s="33">
        <f t="shared" si="2"/>
        <v>2679.5788999999968</v>
      </c>
      <c r="N17" s="33">
        <f t="shared" si="2"/>
        <v>2840.760000000002</v>
      </c>
      <c r="O17" s="33">
        <f t="shared" si="2"/>
        <v>3024.6680499999993</v>
      </c>
      <c r="P17" s="33">
        <f t="shared" si="2"/>
        <v>3217.4921999999992</v>
      </c>
      <c r="Q17" s="33">
        <f t="shared" si="2"/>
        <v>3411.2427500000017</v>
      </c>
      <c r="R17" s="33">
        <f t="shared" si="2"/>
        <v>3609.8012000000003</v>
      </c>
      <c r="S17" s="33">
        <f t="shared" si="2"/>
        <v>3799.0818500000005</v>
      </c>
      <c r="T17" s="33">
        <f t="shared" si="2"/>
        <v>3958.0203999999994</v>
      </c>
      <c r="U17" s="33">
        <f>SUM(U8:U14)</f>
        <v>4117.5</v>
      </c>
      <c r="V17" s="33">
        <f t="shared" si="2"/>
        <v>4117.5</v>
      </c>
    </row>
    <row r="18" spans="1:22">
      <c r="A18" s="170"/>
      <c r="B18" s="178"/>
      <c r="C18" s="36"/>
      <c r="D18" s="36"/>
      <c r="E18" s="37"/>
      <c r="F18" s="35" t="s">
        <v>23</v>
      </c>
      <c r="G18" s="36"/>
      <c r="H18" s="29">
        <f>'[1]Ortho Summary'!F6+'[1]Ortho Summary'!F12+'[1]Ortho Summary'!F23+'[1]Ortho Summary'!F34+'[1]Ortho Summary'!F40</f>
        <v>1.9835419973544979</v>
      </c>
      <c r="I18" s="29">
        <f t="shared" ref="I18:V18" si="3">I15+I13+I11</f>
        <v>2.2999999999999998</v>
      </c>
      <c r="J18" s="29">
        <f t="shared" si="3"/>
        <v>2.5</v>
      </c>
      <c r="K18" s="29">
        <f t="shared" si="3"/>
        <v>2.6999999999999997</v>
      </c>
      <c r="L18" s="29">
        <f t="shared" si="3"/>
        <v>3.1</v>
      </c>
      <c r="M18" s="29">
        <f t="shared" si="3"/>
        <v>3.5</v>
      </c>
      <c r="N18" s="29">
        <f t="shared" si="3"/>
        <v>3.5999999999999996</v>
      </c>
      <c r="O18" s="29">
        <f t="shared" si="3"/>
        <v>3.7</v>
      </c>
      <c r="P18" s="29">
        <f t="shared" si="3"/>
        <v>3.9000000000000004</v>
      </c>
      <c r="Q18" s="29">
        <f t="shared" si="3"/>
        <v>4.0999999999999996</v>
      </c>
      <c r="R18" s="29">
        <f t="shared" si="3"/>
        <v>4.3</v>
      </c>
      <c r="S18" s="29">
        <f t="shared" si="3"/>
        <v>4.7</v>
      </c>
      <c r="T18" s="29">
        <f t="shared" si="3"/>
        <v>4.9000000000000004</v>
      </c>
      <c r="U18" s="29">
        <f t="shared" si="3"/>
        <v>5</v>
      </c>
      <c r="V18" s="29">
        <f t="shared" si="3"/>
        <v>5</v>
      </c>
    </row>
    <row r="19" spans="1:22" ht="6" customHeight="1">
      <c r="A19" s="170"/>
      <c r="B19" s="38"/>
      <c r="C19" s="39"/>
      <c r="D19" s="39"/>
      <c r="E19" s="40"/>
      <c r="F19" s="41"/>
      <c r="G19" s="39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</row>
    <row r="20" spans="1:22">
      <c r="A20" s="170"/>
      <c r="B20" s="189" t="s">
        <v>24</v>
      </c>
      <c r="C20" s="43"/>
      <c r="D20" s="43"/>
      <c r="E20" s="44"/>
      <c r="F20" s="45" t="s">
        <v>25</v>
      </c>
      <c r="G20" s="43"/>
      <c r="H20" s="46">
        <f>[1]Sheet3!C11-100</f>
        <v>435</v>
      </c>
      <c r="I20" s="46">
        <f>[1]Sheet3!D11</f>
        <v>659</v>
      </c>
      <c r="J20" s="46">
        <f>[1]Sheet3!E11</f>
        <v>768</v>
      </c>
      <c r="K20" s="46">
        <f>[1]Sheet3!F11</f>
        <v>870</v>
      </c>
      <c r="L20" s="46">
        <f>[1]Sheet3!G11</f>
        <v>973</v>
      </c>
      <c r="M20" s="46">
        <f>[1]Sheet3!H11</f>
        <v>1065</v>
      </c>
      <c r="N20" s="46">
        <f>[1]Sheet3!I11</f>
        <v>1139</v>
      </c>
      <c r="O20" s="46">
        <f>[1]Sheet3!J11</f>
        <v>1214</v>
      </c>
      <c r="P20" s="46">
        <f>[1]Sheet3!K11</f>
        <v>1285</v>
      </c>
      <c r="Q20" s="46">
        <f>[1]Sheet3!L11</f>
        <v>1350</v>
      </c>
      <c r="R20" s="46">
        <f>[1]Sheet3!M11</f>
        <v>1417</v>
      </c>
      <c r="S20" s="46">
        <f>[1]Sheet3!N11</f>
        <v>1471</v>
      </c>
      <c r="T20" s="46">
        <f>[1]Sheet3!O11</f>
        <v>1499</v>
      </c>
      <c r="U20" s="46">
        <f>[1]Sheet3!P11</f>
        <v>1510</v>
      </c>
      <c r="V20" s="46">
        <f>U20</f>
        <v>1510</v>
      </c>
    </row>
    <row r="21" spans="1:22">
      <c r="A21" s="170"/>
      <c r="B21" s="189"/>
      <c r="C21" s="43"/>
      <c r="D21" s="43"/>
      <c r="E21" s="44"/>
      <c r="F21" s="45" t="s">
        <v>26</v>
      </c>
      <c r="G21" s="43"/>
      <c r="H21" s="46">
        <f>[1]Sheet3!C12-100</f>
        <v>112</v>
      </c>
      <c r="I21" s="46">
        <f>[1]Sheet3!D12</f>
        <v>213</v>
      </c>
      <c r="J21" s="46">
        <f>[1]Sheet3!E12</f>
        <v>214</v>
      </c>
      <c r="K21" s="46">
        <f>[1]Sheet3!F12</f>
        <v>215</v>
      </c>
      <c r="L21" s="46">
        <f>[1]Sheet3!G12</f>
        <v>216</v>
      </c>
      <c r="M21" s="46">
        <f>[1]Sheet3!H12</f>
        <v>217</v>
      </c>
      <c r="N21" s="46">
        <f>[1]Sheet3!I12</f>
        <v>218</v>
      </c>
      <c r="O21" s="46">
        <f>[1]Sheet3!J12</f>
        <v>219</v>
      </c>
      <c r="P21" s="46">
        <f>[1]Sheet3!K12</f>
        <v>220</v>
      </c>
      <c r="Q21" s="46">
        <f>[1]Sheet3!L12</f>
        <v>221</v>
      </c>
      <c r="R21" s="46">
        <f>[1]Sheet3!M12</f>
        <v>222</v>
      </c>
      <c r="S21" s="46">
        <f>[1]Sheet3!N12</f>
        <v>223</v>
      </c>
      <c r="T21" s="46">
        <f>[1]Sheet3!O12</f>
        <v>224</v>
      </c>
      <c r="U21" s="46">
        <f>[1]Sheet3!P12</f>
        <v>238</v>
      </c>
      <c r="V21" s="46">
        <f>U21</f>
        <v>238</v>
      </c>
    </row>
    <row r="22" spans="1:22">
      <c r="A22" s="170"/>
      <c r="B22" s="189"/>
      <c r="C22" s="47">
        <v>880</v>
      </c>
      <c r="D22" s="47">
        <v>200</v>
      </c>
      <c r="E22" s="48">
        <f>D22+C22</f>
        <v>1080</v>
      </c>
      <c r="F22" s="49" t="s">
        <v>22</v>
      </c>
      <c r="G22" s="43"/>
      <c r="H22" s="50">
        <f>SUM(H20:H21)</f>
        <v>547</v>
      </c>
      <c r="I22" s="50">
        <f t="shared" ref="I22:V22" si="4">SUM(I20:I21)</f>
        <v>872</v>
      </c>
      <c r="J22" s="50">
        <f t="shared" si="4"/>
        <v>982</v>
      </c>
      <c r="K22" s="50">
        <f t="shared" si="4"/>
        <v>1085</v>
      </c>
      <c r="L22" s="50">
        <f t="shared" si="4"/>
        <v>1189</v>
      </c>
      <c r="M22" s="50">
        <f t="shared" si="4"/>
        <v>1282</v>
      </c>
      <c r="N22" s="50">
        <f t="shared" si="4"/>
        <v>1357</v>
      </c>
      <c r="O22" s="50">
        <f t="shared" si="4"/>
        <v>1433</v>
      </c>
      <c r="P22" s="50">
        <f t="shared" si="4"/>
        <v>1505</v>
      </c>
      <c r="Q22" s="50">
        <f t="shared" si="4"/>
        <v>1571</v>
      </c>
      <c r="R22" s="50">
        <f t="shared" si="4"/>
        <v>1639</v>
      </c>
      <c r="S22" s="50">
        <f t="shared" si="4"/>
        <v>1694</v>
      </c>
      <c r="T22" s="50">
        <f t="shared" si="4"/>
        <v>1723</v>
      </c>
      <c r="U22" s="50">
        <f t="shared" si="4"/>
        <v>1748</v>
      </c>
      <c r="V22" s="50">
        <f t="shared" si="4"/>
        <v>1748</v>
      </c>
    </row>
    <row r="23" spans="1:22">
      <c r="A23" s="170"/>
      <c r="B23" s="189"/>
      <c r="C23" s="43"/>
      <c r="D23" s="43"/>
      <c r="E23" s="44"/>
      <c r="F23" s="49" t="s">
        <v>11</v>
      </c>
      <c r="G23" s="43"/>
      <c r="H23" s="51">
        <f>H22/864</f>
        <v>0.63310185185185186</v>
      </c>
      <c r="I23" s="51">
        <f t="shared" ref="I23:V23" si="5">I22/864</f>
        <v>1.0092592592592593</v>
      </c>
      <c r="J23" s="51">
        <f t="shared" si="5"/>
        <v>1.1365740740740742</v>
      </c>
      <c r="K23" s="51">
        <f t="shared" si="5"/>
        <v>1.255787037037037</v>
      </c>
      <c r="L23" s="51">
        <f t="shared" si="5"/>
        <v>1.3761574074074074</v>
      </c>
      <c r="M23" s="51">
        <f t="shared" si="5"/>
        <v>1.4837962962962963</v>
      </c>
      <c r="N23" s="51">
        <f t="shared" si="5"/>
        <v>1.5706018518518519</v>
      </c>
      <c r="O23" s="51">
        <f t="shared" si="5"/>
        <v>1.6585648148148149</v>
      </c>
      <c r="P23" s="51">
        <f t="shared" si="5"/>
        <v>1.7418981481481481</v>
      </c>
      <c r="Q23" s="51">
        <f t="shared" si="5"/>
        <v>1.818287037037037</v>
      </c>
      <c r="R23" s="51">
        <f t="shared" si="5"/>
        <v>1.8969907407407407</v>
      </c>
      <c r="S23" s="51">
        <f t="shared" si="5"/>
        <v>1.9606481481481481</v>
      </c>
      <c r="T23" s="51">
        <f t="shared" si="5"/>
        <v>1.994212962962963</v>
      </c>
      <c r="U23" s="51">
        <f t="shared" si="5"/>
        <v>2.0231481481481484</v>
      </c>
      <c r="V23" s="51">
        <f t="shared" si="5"/>
        <v>2.0231481481481484</v>
      </c>
    </row>
    <row r="24" spans="1:22" ht="6" customHeight="1">
      <c r="A24" s="170"/>
      <c r="B24" s="38"/>
      <c r="C24" s="52"/>
      <c r="D24" s="52"/>
      <c r="E24" s="53"/>
      <c r="F24" s="41"/>
      <c r="G24" s="5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</row>
    <row r="25" spans="1:22">
      <c r="A25" s="170"/>
      <c r="B25" s="179" t="s">
        <v>27</v>
      </c>
      <c r="C25" s="54"/>
      <c r="D25" s="54"/>
      <c r="E25" s="55"/>
      <c r="F25" s="56" t="s">
        <v>28</v>
      </c>
      <c r="G25" s="54"/>
      <c r="H25" s="57">
        <f>1634-900</f>
        <v>734</v>
      </c>
      <c r="I25" s="57">
        <v>2008</v>
      </c>
      <c r="J25" s="57">
        <v>2352</v>
      </c>
      <c r="K25" s="57">
        <v>2671</v>
      </c>
      <c r="L25" s="57">
        <v>2974</v>
      </c>
      <c r="M25" s="57">
        <v>3276</v>
      </c>
      <c r="N25" s="57">
        <v>3563</v>
      </c>
      <c r="O25" s="57">
        <v>3816</v>
      </c>
      <c r="P25" s="57">
        <v>4086</v>
      </c>
      <c r="Q25" s="57">
        <v>4363</v>
      </c>
      <c r="R25" s="57">
        <v>4627</v>
      </c>
      <c r="S25" s="57">
        <v>4914</v>
      </c>
      <c r="T25" s="57">
        <v>5130</v>
      </c>
      <c r="U25" s="57">
        <f>T25</f>
        <v>5130</v>
      </c>
      <c r="V25" s="57">
        <f>U25</f>
        <v>5130</v>
      </c>
    </row>
    <row r="26" spans="1:22">
      <c r="A26" s="170"/>
      <c r="B26" s="179"/>
      <c r="C26" s="54"/>
      <c r="D26" s="54"/>
      <c r="E26" s="55"/>
      <c r="F26" s="56" t="s">
        <v>29</v>
      </c>
      <c r="G26" s="54"/>
      <c r="H26" s="58">
        <f>943.2-300</f>
        <v>643.20000000000005</v>
      </c>
      <c r="I26" s="58">
        <v>1106.3999999999999</v>
      </c>
      <c r="J26" s="58">
        <v>1249.2</v>
      </c>
      <c r="K26" s="58">
        <v>1378.8</v>
      </c>
      <c r="L26" s="58">
        <v>1511.3999999999999</v>
      </c>
      <c r="M26" s="58">
        <v>1632</v>
      </c>
      <c r="N26" s="58">
        <v>1711.2</v>
      </c>
      <c r="O26" s="58">
        <v>1807.8</v>
      </c>
      <c r="P26" s="58">
        <v>1909.8</v>
      </c>
      <c r="Q26" s="58">
        <v>2008.8</v>
      </c>
      <c r="R26" s="58">
        <v>2116.7999999999997</v>
      </c>
      <c r="S26" s="58">
        <v>2213.4</v>
      </c>
      <c r="T26" s="58">
        <v>2277</v>
      </c>
      <c r="U26" s="58">
        <v>2325</v>
      </c>
      <c r="V26" s="58">
        <v>2565</v>
      </c>
    </row>
    <row r="27" spans="1:22">
      <c r="A27" s="170"/>
      <c r="B27" s="179"/>
      <c r="C27" s="59">
        <v>1850</v>
      </c>
      <c r="D27" s="59">
        <v>1200</v>
      </c>
      <c r="E27" s="60">
        <f>D27+C27</f>
        <v>3050</v>
      </c>
      <c r="F27" s="61" t="s">
        <v>22</v>
      </c>
      <c r="G27" s="64"/>
      <c r="H27" s="59">
        <f t="shared" ref="H27:V27" si="6">SUM(H25:H26)</f>
        <v>1377.2</v>
      </c>
      <c r="I27" s="59">
        <f t="shared" si="6"/>
        <v>3114.3999999999996</v>
      </c>
      <c r="J27" s="59">
        <f t="shared" si="6"/>
        <v>3601.2</v>
      </c>
      <c r="K27" s="59">
        <f t="shared" si="6"/>
        <v>4049.8</v>
      </c>
      <c r="L27" s="59">
        <f t="shared" si="6"/>
        <v>4485.3999999999996</v>
      </c>
      <c r="M27" s="59">
        <f t="shared" si="6"/>
        <v>4908</v>
      </c>
      <c r="N27" s="59">
        <f t="shared" si="6"/>
        <v>5274.2</v>
      </c>
      <c r="O27" s="59">
        <f t="shared" si="6"/>
        <v>5623.8</v>
      </c>
      <c r="P27" s="59">
        <f t="shared" si="6"/>
        <v>5995.8</v>
      </c>
      <c r="Q27" s="59">
        <f t="shared" si="6"/>
        <v>6371.8</v>
      </c>
      <c r="R27" s="59">
        <f t="shared" si="6"/>
        <v>6743.7999999999993</v>
      </c>
      <c r="S27" s="59">
        <f t="shared" si="6"/>
        <v>7127.4</v>
      </c>
      <c r="T27" s="59">
        <f t="shared" si="6"/>
        <v>7407</v>
      </c>
      <c r="U27" s="59">
        <f t="shared" si="6"/>
        <v>7455</v>
      </c>
      <c r="V27" s="59">
        <f t="shared" si="6"/>
        <v>7695</v>
      </c>
    </row>
    <row r="28" spans="1:22">
      <c r="A28" s="170"/>
      <c r="B28" s="179"/>
      <c r="C28" s="64"/>
      <c r="D28" s="64"/>
      <c r="E28" s="65"/>
      <c r="F28" s="61" t="s">
        <v>30</v>
      </c>
      <c r="G28" s="64"/>
      <c r="H28" s="66">
        <f>[1]Sheet3!C87+[1]Sheet3!C103</f>
        <v>0.75914230019493179</v>
      </c>
      <c r="I28" s="66">
        <f>[1]Sheet3!D87+[1]Sheet3!D103</f>
        <v>0.88982456140350874</v>
      </c>
      <c r="J28" s="66">
        <f>[1]Sheet3!E87+[1]Sheet3!E103</f>
        <v>1.0076803118908382</v>
      </c>
      <c r="K28" s="66">
        <f>[1]Sheet3!F87+[1]Sheet3!F103</f>
        <v>1.1172709551656919</v>
      </c>
      <c r="L28" s="66">
        <f>[1]Sheet3!G87+[1]Sheet3!G103</f>
        <v>1.2278362573099415</v>
      </c>
      <c r="M28" s="66">
        <f>[1]Sheet3!H87+[1]Sheet3!H103</f>
        <v>1.3307992202729046</v>
      </c>
      <c r="N28" s="66">
        <f>[1]Sheet3!I87+[1]Sheet3!I103</f>
        <v>1.4109941520467837</v>
      </c>
      <c r="O28" s="66">
        <f>[1]Sheet3!J87+[1]Sheet3!J103</f>
        <v>1.5012865497076024</v>
      </c>
      <c r="P28" s="66">
        <f>[1]Sheet3!K87+[1]Sheet3!K103</f>
        <v>1.5950487329434697</v>
      </c>
      <c r="Q28" s="66">
        <f>[1]Sheet3!L87+[1]Sheet3!L103</f>
        <v>1.6851072124756334</v>
      </c>
      <c r="R28" s="66">
        <f>[1]Sheet3!M87+[1]Sheet3!M103</f>
        <v>1.7831578947368421</v>
      </c>
      <c r="S28" s="66">
        <f>[1]Sheet3!N87+[1]Sheet3!N103</f>
        <v>1.8629239766081871</v>
      </c>
      <c r="T28" s="66">
        <f>[1]Sheet3!O87+[1]Sheet3!O103</f>
        <v>1.935477582846004</v>
      </c>
      <c r="U28" s="66">
        <f>[1]Sheet3!P87+[1]Sheet3!P103</f>
        <v>1.9865497076023393</v>
      </c>
      <c r="V28" s="66">
        <f>U28</f>
        <v>1.9865497076023393</v>
      </c>
    </row>
    <row r="29" spans="1:22" ht="6" customHeight="1">
      <c r="A29" s="170"/>
      <c r="B29" s="38"/>
      <c r="C29" s="39"/>
      <c r="D29" s="39"/>
      <c r="E29" s="40"/>
      <c r="F29" s="22"/>
      <c r="G29" s="39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</row>
    <row r="30" spans="1:22" s="70" customFormat="1">
      <c r="A30" s="170"/>
      <c r="B30" s="190" t="s">
        <v>31</v>
      </c>
      <c r="C30" s="67">
        <f>C27+C22+C17</f>
        <v>8640</v>
      </c>
      <c r="D30" s="67"/>
      <c r="E30" s="68">
        <f>E27+E22+E17</f>
        <v>10240</v>
      </c>
      <c r="F30" s="69" t="s">
        <v>32</v>
      </c>
      <c r="G30" s="71"/>
      <c r="H30" s="67">
        <f>H27+H22+H17</f>
        <v>3460.6303000000007</v>
      </c>
      <c r="I30" s="67">
        <f t="shared" ref="I30:V31" si="7">I27+I22+I17</f>
        <v>5770.6820000000007</v>
      </c>
      <c r="J30" s="67">
        <f t="shared" si="7"/>
        <v>6600.2439999999997</v>
      </c>
      <c r="K30" s="67">
        <f t="shared" si="7"/>
        <v>7376.9418500000011</v>
      </c>
      <c r="L30" s="67">
        <f t="shared" si="7"/>
        <v>8148.8145000000004</v>
      </c>
      <c r="M30" s="67">
        <f t="shared" si="7"/>
        <v>8869.5788999999968</v>
      </c>
      <c r="N30" s="67">
        <f t="shared" si="7"/>
        <v>9471.9600000000028</v>
      </c>
      <c r="O30" s="67">
        <f t="shared" si="7"/>
        <v>10081.468049999999</v>
      </c>
      <c r="P30" s="67">
        <f t="shared" si="7"/>
        <v>10718.2922</v>
      </c>
      <c r="Q30" s="67">
        <f t="shared" si="7"/>
        <v>11354.042750000002</v>
      </c>
      <c r="R30" s="67">
        <f t="shared" si="7"/>
        <v>11992.601199999999</v>
      </c>
      <c r="S30" s="67">
        <f t="shared" si="7"/>
        <v>12620.48185</v>
      </c>
      <c r="T30" s="67">
        <f t="shared" si="7"/>
        <v>13088.020399999999</v>
      </c>
      <c r="U30" s="67">
        <f t="shared" si="7"/>
        <v>13320.5</v>
      </c>
      <c r="V30" s="67">
        <f t="shared" si="7"/>
        <v>13560.5</v>
      </c>
    </row>
    <row r="31" spans="1:22" s="70" customFormat="1" ht="25.5">
      <c r="A31" s="170"/>
      <c r="B31" s="190"/>
      <c r="C31" s="71"/>
      <c r="D31" s="71"/>
      <c r="E31" s="72"/>
      <c r="F31" s="73" t="s">
        <v>33</v>
      </c>
      <c r="G31" s="71"/>
      <c r="H31" s="74">
        <f>H28+H23+H18</f>
        <v>3.3757861494012813</v>
      </c>
      <c r="I31" s="74">
        <f t="shared" si="7"/>
        <v>4.1990838206627679</v>
      </c>
      <c r="J31" s="74">
        <f t="shared" si="7"/>
        <v>4.6442543859649126</v>
      </c>
      <c r="K31" s="74">
        <f t="shared" si="7"/>
        <v>5.0730579922027292</v>
      </c>
      <c r="L31" s="74">
        <f t="shared" si="7"/>
        <v>5.7039936647173484</v>
      </c>
      <c r="M31" s="74">
        <f t="shared" si="7"/>
        <v>6.3145955165692005</v>
      </c>
      <c r="N31" s="74">
        <f t="shared" si="7"/>
        <v>6.5815960038986354</v>
      </c>
      <c r="O31" s="74">
        <f t="shared" si="7"/>
        <v>6.8598513645224175</v>
      </c>
      <c r="P31" s="74">
        <f t="shared" si="7"/>
        <v>7.236946881091618</v>
      </c>
      <c r="Q31" s="74">
        <f t="shared" si="7"/>
        <v>7.6033942495126698</v>
      </c>
      <c r="R31" s="74">
        <f t="shared" si="7"/>
        <v>7.9801486354775824</v>
      </c>
      <c r="S31" s="74">
        <f t="shared" si="7"/>
        <v>8.5235721247563347</v>
      </c>
      <c r="T31" s="74">
        <f t="shared" si="7"/>
        <v>8.8296905458089672</v>
      </c>
      <c r="U31" s="74">
        <f t="shared" si="7"/>
        <v>9.0096978557504883</v>
      </c>
      <c r="V31" s="74">
        <f t="shared" si="7"/>
        <v>9.0096978557504883</v>
      </c>
    </row>
    <row r="32" spans="1:22" ht="4.5" customHeight="1">
      <c r="A32" s="191"/>
      <c r="B32" s="192"/>
      <c r="C32" s="52"/>
      <c r="D32" s="52"/>
      <c r="E32" s="53"/>
      <c r="F32" s="19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</row>
    <row r="33" spans="1:22" s="3" customFormat="1">
      <c r="A33" s="193" t="s">
        <v>34</v>
      </c>
      <c r="B33" s="193" t="s">
        <v>31</v>
      </c>
      <c r="C33" s="75">
        <f>C30+C5</f>
        <v>16290</v>
      </c>
      <c r="D33" s="75"/>
      <c r="E33" s="76">
        <f>E30+E5</f>
        <v>18490</v>
      </c>
      <c r="F33" s="77" t="s">
        <v>32</v>
      </c>
      <c r="G33" s="75">
        <f>G5</f>
        <v>1633</v>
      </c>
      <c r="H33" s="75">
        <f t="shared" ref="H33:V34" si="8">H30+H5</f>
        <v>5910.6303000000007</v>
      </c>
      <c r="I33" s="75">
        <f t="shared" si="8"/>
        <v>8702.6820000000007</v>
      </c>
      <c r="J33" s="75">
        <f t="shared" si="8"/>
        <v>10025.243999999999</v>
      </c>
      <c r="K33" s="75">
        <f t="shared" si="8"/>
        <v>11304.941850000001</v>
      </c>
      <c r="L33" s="75">
        <f t="shared" si="8"/>
        <v>12590.8145</v>
      </c>
      <c r="M33" s="75">
        <f t="shared" si="8"/>
        <v>13836.578899999997</v>
      </c>
      <c r="N33" s="75">
        <f t="shared" si="8"/>
        <v>14973.960000000003</v>
      </c>
      <c r="O33" s="75">
        <f t="shared" si="8"/>
        <v>16127.468049999999</v>
      </c>
      <c r="P33" s="75">
        <f t="shared" si="8"/>
        <v>17318.2922</v>
      </c>
      <c r="Q33" s="75">
        <f t="shared" si="8"/>
        <v>18516.042750000001</v>
      </c>
      <c r="R33" s="75">
        <f t="shared" si="8"/>
        <v>19765.601199999997</v>
      </c>
      <c r="S33" s="75">
        <f t="shared" si="8"/>
        <v>20972.48185</v>
      </c>
      <c r="T33" s="75">
        <f t="shared" si="8"/>
        <v>22027.020400000001</v>
      </c>
      <c r="U33" s="75">
        <f t="shared" si="8"/>
        <v>22854.5</v>
      </c>
      <c r="V33" s="75">
        <f t="shared" si="8"/>
        <v>23697.5</v>
      </c>
    </row>
    <row r="34" spans="1:22" s="3" customFormat="1" ht="25.5">
      <c r="A34" s="193"/>
      <c r="B34" s="193"/>
      <c r="C34" s="78"/>
      <c r="D34" s="78"/>
      <c r="E34" s="79"/>
      <c r="F34" s="80" t="s">
        <v>33</v>
      </c>
      <c r="G34" s="81">
        <f>G6</f>
        <v>0.53088426527958388</v>
      </c>
      <c r="H34" s="81">
        <f t="shared" si="8"/>
        <v>4.1722750960852863</v>
      </c>
      <c r="I34" s="81">
        <f t="shared" si="8"/>
        <v>5.1522697764495042</v>
      </c>
      <c r="J34" s="81">
        <f t="shared" si="8"/>
        <v>5.7577134236762255</v>
      </c>
      <c r="K34" s="81">
        <f t="shared" si="8"/>
        <v>6.3500410871312081</v>
      </c>
      <c r="L34" s="81">
        <f t="shared" si="8"/>
        <v>7.1480768896848383</v>
      </c>
      <c r="M34" s="81">
        <f t="shared" si="8"/>
        <v>7.9293549443975486</v>
      </c>
      <c r="N34" s="81">
        <f t="shared" si="8"/>
        <v>8.3702826098804302</v>
      </c>
      <c r="O34" s="81">
        <f t="shared" si="8"/>
        <v>8.8253910264209878</v>
      </c>
      <c r="P34" s="81">
        <f t="shared" si="8"/>
        <v>9.3825905741995506</v>
      </c>
      <c r="Q34" s="81">
        <f t="shared" si="8"/>
        <v>9.9317427540640359</v>
      </c>
      <c r="R34" s="81">
        <f t="shared" si="8"/>
        <v>10.50713173040606</v>
      </c>
      <c r="S34" s="81">
        <f t="shared" si="8"/>
        <v>11.238786689125646</v>
      </c>
      <c r="T34" s="81">
        <f t="shared" si="8"/>
        <v>11.73573735985318</v>
      </c>
      <c r="U34" s="81">
        <f t="shared" si="8"/>
        <v>12.109177699703675</v>
      </c>
      <c r="V34" s="81">
        <f t="shared" si="8"/>
        <v>12.305211509846718</v>
      </c>
    </row>
    <row r="35" spans="1:22">
      <c r="I35" s="82"/>
      <c r="J35" s="82"/>
    </row>
    <row r="36" spans="1:22">
      <c r="I36" s="82"/>
      <c r="J36" s="82"/>
    </row>
  </sheetData>
  <mergeCells count="13">
    <mergeCell ref="B30:B31"/>
    <mergeCell ref="A33:A34"/>
    <mergeCell ref="B33:B34"/>
    <mergeCell ref="A1:V1"/>
    <mergeCell ref="G3:V3"/>
    <mergeCell ref="A5:A6"/>
    <mergeCell ref="B5:B6"/>
    <mergeCell ref="A8:A31"/>
    <mergeCell ref="B8:B18"/>
    <mergeCell ref="C8:C10"/>
    <mergeCell ref="D8:D9"/>
    <mergeCell ref="B20:B23"/>
    <mergeCell ref="B25:B28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Orthopaedics</vt:lpstr>
      <vt:lpstr>General Surgery</vt:lpstr>
      <vt:lpstr>Endoscopy </vt:lpstr>
      <vt:lpstr>All Activity</vt:lpstr>
    </vt:vector>
  </TitlesOfParts>
  <Company>GJNH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macarthurc</dc:creator>
  <cp:lastModifiedBy>macarthurc</cp:lastModifiedBy>
  <cp:lastPrinted>2019-09-17T08:17:20Z</cp:lastPrinted>
  <dcterms:created xsi:type="dcterms:W3CDTF">2019-09-05T09:31:11Z</dcterms:created>
  <dcterms:modified xsi:type="dcterms:W3CDTF">2019-09-17T08:19:45Z</dcterms:modified>
</cp:coreProperties>
</file>